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Highways\MUN\LCL\Private\ProgramDocuments\BikePed\2024 Solicitations\Applications Received\Application Review\"/>
    </mc:Choice>
  </mc:AlternateContent>
  <xr:revisionPtr revIDLastSave="0" documentId="13_ncr:1_{17044F08-8419-4D50-9C12-E1028846B364}" xr6:coauthVersionLast="47" xr6:coauthVersionMax="47" xr10:uidLastSave="{00000000-0000-0000-0000-000000000000}"/>
  <bookViews>
    <workbookView xWindow="-120" yWindow="-120" windowWidth="29040" windowHeight="15840" activeTab="3" xr2:uid="{D90AC37D-EDB0-45BE-B15C-CA48817717B6}"/>
  </bookViews>
  <sheets>
    <sheet name="Large Scale" sheetId="1" r:id="rId1"/>
    <sheet name="Addl. &amp; Scoping" sheetId="2" r:id="rId2"/>
    <sheet name="Small Scale" sheetId="4" r:id="rId3"/>
    <sheet name="Funds Request Summary"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 i="5" l="1"/>
  <c r="J23" i="5"/>
  <c r="U5" i="4"/>
  <c r="U6" i="4"/>
  <c r="U7" i="4"/>
  <c r="U6" i="1"/>
  <c r="R8" i="1"/>
  <c r="R18" i="2"/>
  <c r="T12" i="2"/>
  <c r="S6" i="1"/>
  <c r="S8" i="1" s="1"/>
  <c r="K7" i="5"/>
  <c r="K5" i="5"/>
  <c r="K3" i="5"/>
  <c r="Y7" i="4"/>
  <c r="C22" i="5"/>
  <c r="F22" i="5" s="1"/>
  <c r="S5" i="1"/>
  <c r="R11" i="2"/>
  <c r="R10" i="2"/>
  <c r="R16" i="2"/>
  <c r="R15" i="2"/>
  <c r="R14" i="2"/>
  <c r="R13" i="2"/>
  <c r="R12" i="2"/>
  <c r="R3" i="2"/>
  <c r="C10" i="5"/>
  <c r="F10" i="5" s="1"/>
  <c r="T16" i="4"/>
  <c r="R3" i="4" l="1"/>
  <c r="R4" i="4"/>
  <c r="R5" i="4"/>
  <c r="R6" i="4"/>
  <c r="R7" i="4"/>
  <c r="R8" i="4"/>
  <c r="R9" i="4"/>
  <c r="R10" i="4"/>
  <c r="R11" i="4"/>
  <c r="R12" i="4"/>
  <c r="R13" i="4"/>
  <c r="R14" i="4"/>
  <c r="R15" i="4"/>
  <c r="U15" i="4"/>
  <c r="U14" i="4"/>
  <c r="U12" i="4"/>
  <c r="U11" i="4"/>
  <c r="U10" i="4"/>
  <c r="U9" i="4"/>
  <c r="S13" i="4"/>
  <c r="S14" i="4"/>
  <c r="S15" i="4"/>
  <c r="O13" i="2" l="1"/>
  <c r="O18" i="2" s="1"/>
  <c r="N17" i="2"/>
  <c r="O9" i="1" l="1"/>
  <c r="O6" i="1"/>
  <c r="O8" i="1"/>
  <c r="N19" i="1"/>
  <c r="M14" i="2" l="1"/>
  <c r="M13" i="2"/>
  <c r="M10" i="2"/>
  <c r="M16" i="2"/>
  <c r="M15" i="2"/>
  <c r="M12" i="2"/>
  <c r="M11" i="2"/>
  <c r="M3" i="2" l="1"/>
  <c r="M11" i="1" l="1"/>
  <c r="M10" i="1"/>
  <c r="M9" i="1"/>
  <c r="M8" i="1"/>
  <c r="M7" i="1"/>
  <c r="M6" i="1"/>
  <c r="M5" i="1"/>
  <c r="M4" i="1"/>
  <c r="M3" i="1"/>
  <c r="Y6" i="4" l="1"/>
  <c r="U4" i="4"/>
  <c r="U17" i="4" s="1"/>
  <c r="O15" i="2"/>
  <c r="O14" i="2"/>
  <c r="O12" i="2"/>
  <c r="O11" i="2"/>
  <c r="O10" i="2"/>
  <c r="O16" i="2"/>
  <c r="O3" i="2"/>
  <c r="O11" i="1"/>
  <c r="O5" i="1"/>
  <c r="R14" i="1" s="1"/>
  <c r="S10" i="4"/>
  <c r="S11" i="4"/>
  <c r="S12" i="4"/>
  <c r="O4" i="1"/>
  <c r="O7" i="1"/>
  <c r="O10" i="1"/>
  <c r="O3" i="1"/>
  <c r="R16" i="1" l="1"/>
  <c r="R17" i="1" s="1"/>
  <c r="O20" i="1"/>
</calcChain>
</file>

<file path=xl/sharedStrings.xml><?xml version="1.0" encoding="utf-8"?>
<sst xmlns="http://schemas.openxmlformats.org/spreadsheetml/2006/main" count="279" uniqueCount="242">
  <si>
    <t>Scoping</t>
  </si>
  <si>
    <t xml:space="preserve"> </t>
  </si>
  <si>
    <t>Town/Applicant</t>
  </si>
  <si>
    <t>Project Description</t>
  </si>
  <si>
    <t>Total Cost</t>
  </si>
  <si>
    <t>Fed. Share</t>
  </si>
  <si>
    <t>Total Fed. Funds Requested</t>
  </si>
  <si>
    <t>Federal Funds Portion</t>
  </si>
  <si>
    <t>Fed. Funds Requested</t>
  </si>
  <si>
    <t>State Funding</t>
  </si>
  <si>
    <t>Total State Funds Requested.</t>
  </si>
  <si>
    <t>Pochop Comments</t>
  </si>
  <si>
    <t>Pochop Scores</t>
  </si>
  <si>
    <t>Total Score</t>
  </si>
  <si>
    <t>Bucossi Comment</t>
  </si>
  <si>
    <t>Bucossi Score</t>
  </si>
  <si>
    <t>Holland Scores</t>
  </si>
  <si>
    <t>Neary Comments</t>
  </si>
  <si>
    <t>Neary Scores</t>
  </si>
  <si>
    <t>Hunt Comments</t>
  </si>
  <si>
    <t>Irasburg</t>
  </si>
  <si>
    <t>Newfane</t>
  </si>
  <si>
    <t>Hunt Scores</t>
  </si>
  <si>
    <t>Bennington</t>
  </si>
  <si>
    <t>Milton</t>
  </si>
  <si>
    <t>Total Federal Projects Cost</t>
  </si>
  <si>
    <t>Total Small Scale State Projects Cost</t>
  </si>
  <si>
    <t>Add'l Funding Lg Scale</t>
  </si>
  <si>
    <t>Bucossi Comments (Need)</t>
  </si>
  <si>
    <t>Pochop Comments (Need)</t>
  </si>
  <si>
    <t>Hunt Comments (Need)</t>
  </si>
  <si>
    <t>Neary Comments (Need)</t>
  </si>
  <si>
    <t>Initially Selected</t>
  </si>
  <si>
    <t>KEY:</t>
  </si>
  <si>
    <t>Total:</t>
  </si>
  <si>
    <t>Key:</t>
  </si>
  <si>
    <t>Total $:</t>
  </si>
  <si>
    <t>Additional Funds Selected</t>
  </si>
  <si>
    <t>Total Add'l and Scoping:</t>
  </si>
  <si>
    <t>Selected Project</t>
  </si>
  <si>
    <t>Total $</t>
  </si>
  <si>
    <t>In addition to initially selected if Money available</t>
  </si>
  <si>
    <t>Rank</t>
  </si>
  <si>
    <t>2024 BP Federal Large Scale Applications Review 7-22-24</t>
  </si>
  <si>
    <t>Lattanzi Comments (Need)</t>
  </si>
  <si>
    <t>Lattanzi Scores</t>
  </si>
  <si>
    <t>2024 Additional Funds</t>
  </si>
  <si>
    <t>2024 Small Scale</t>
  </si>
  <si>
    <t>Newfane Village Sidewalk Project</t>
  </si>
  <si>
    <t>Highgate</t>
  </si>
  <si>
    <t>Highgate Village Sidewalks</t>
  </si>
  <si>
    <t xml:space="preserve">Northfield </t>
  </si>
  <si>
    <t>Northfield Common to Dog River Park Walkway</t>
  </si>
  <si>
    <t>Huntington</t>
  </si>
  <si>
    <t>Huntington Lower Village Sidewalk Project</t>
  </si>
  <si>
    <t>West Burke</t>
  </si>
  <si>
    <t>East Burke Sidewalk / Retaining Wall replacment</t>
  </si>
  <si>
    <t>Williston</t>
  </si>
  <si>
    <t>Route 2A Missing Link (Phase II)</t>
  </si>
  <si>
    <t>IRASBURG</t>
  </si>
  <si>
    <t>Irasburg's Connecting Community Project</t>
  </si>
  <si>
    <t>North Bennington</t>
  </si>
  <si>
    <t>Mechanic Street Sidewalk</t>
  </si>
  <si>
    <t>Middlebury</t>
  </si>
  <si>
    <t>Greater Buttolph Neighborhood Connectivity Project</t>
  </si>
  <si>
    <t>connect key downtown areas, estimate 300 daily peak usage, no rationale</t>
  </si>
  <si>
    <t>improve bike/ped route to elementary school., library, new senior housing, estimate 275 daily peak usage, no rationale</t>
  </si>
  <si>
    <t>connect commons, businesses, senior center, apartments, schools, health clinic, esstimate 500 daily peak usage based on survey and interviews</t>
  </si>
  <si>
    <t>slow traffic, provide safe pedestrian network to school bus pickup site, estimate 40 peak daily usage based on number of households within 1 mile radius and 76 walk trips per household in rural area</t>
  </si>
  <si>
    <t>did not use online form, did not find narrative, should be disqualified, unclear on map where project is located</t>
  </si>
  <si>
    <t>connect sidewalk network, link 150 households to jobs, day care, health services and rec park, estimate 43 daily peak usage based on public transit usage and local households and employees</t>
  </si>
  <si>
    <t>connect elementary school to town common, estimate 200 daily peak usage, no rationale</t>
  </si>
  <si>
    <t xml:space="preserve">seems like it will serve about 20 households, within 0.6 miles of school.  Mentioned as a popular recreation route and pedestrians walk on street in winter. </t>
  </si>
  <si>
    <t>connect high density residential neighborhoods to three schools, anticipated new housing develeopment, traffic calming and raised crosswalks given documented speed violations</t>
  </si>
  <si>
    <t>Would add links. Traffic calming? Mostly sidewalk replacement.</t>
  </si>
  <si>
    <t>Hard to determine project scope, discusses studies but not provided, LVRT runs through town</t>
  </si>
  <si>
    <t>Makes good connectios from village center to nieghborhood and assisted living facility</t>
  </si>
  <si>
    <t>No sidewalks now</t>
  </si>
  <si>
    <t>Letters from TAP application? Poor application in general</t>
  </si>
  <si>
    <t>Final connection along corridor</t>
  </si>
  <si>
    <t>Dangerous route to school , will connect village and school</t>
  </si>
  <si>
    <t>Makes good connection</t>
  </si>
  <si>
    <t>No scoping study, connects numerous facilities, makes final connections to fill out system</t>
  </si>
  <si>
    <t xml:space="preserve">this will serve as connections within the village destinations. Unsure if raised crosswalks or RRFB is an option here. </t>
  </si>
  <si>
    <t>none</t>
  </si>
  <si>
    <t>There is a need. Wondering what the traffic volumes are on the roadway and if painted roadway is a cost effective method for designating use for AT</t>
  </si>
  <si>
    <t>the need is not as strong as some other applications  but potential  there</t>
  </si>
  <si>
    <t>second phase</t>
  </si>
  <si>
    <t>could have improved the narrative but photos support the need</t>
  </si>
  <si>
    <t>connectivity</t>
  </si>
  <si>
    <t>wondering if these streets are low volume</t>
  </si>
  <si>
    <t>Existing facilities serving businesses and muncipal offices are in poor condition, and include a dnagerous crossing of VT-30</t>
  </si>
  <si>
    <t>No safe route to school, rec center and library. 30 unit senior housing planned that will need facilities.</t>
  </si>
  <si>
    <t>Provides a safe connection between senior housing/center, town park, and  local businesses</t>
  </si>
  <si>
    <t>Currently no pedestrian facilities to library, P&amp;R, general store, post office and a wide crossing at Bridge St. Raised crosswalks will help lower speeds through village</t>
  </si>
  <si>
    <t>I see references to a separate narrative but can't find it anywhere</t>
  </si>
  <si>
    <t>Makes connection between park, busineeses and the rest of the Williston sidewalk network</t>
  </si>
  <si>
    <t>Described in broad terms - connection between Town Common and Elementary School</t>
  </si>
  <si>
    <t>No facilities on a route popular with school students, leads into village center businesses</t>
  </si>
  <si>
    <t>Completes a sidewalk network that serves multiple schools and a proposed 200 unit development</t>
  </si>
  <si>
    <t>2024 Scoping</t>
  </si>
  <si>
    <t>Lattanzi Comments</t>
  </si>
  <si>
    <t>Bucossi Scores</t>
  </si>
  <si>
    <t>Montpelier</t>
  </si>
  <si>
    <t>Capital City Corridor Bike Share</t>
  </si>
  <si>
    <t>Pedestrian crossing improvement</t>
  </si>
  <si>
    <t>Newport City</t>
  </si>
  <si>
    <t>Bicycle/Pedestrian Infrastructure</t>
  </si>
  <si>
    <t>Greensboro</t>
  </si>
  <si>
    <t>Breezy Avenue</t>
  </si>
  <si>
    <t>Guilford</t>
  </si>
  <si>
    <t>Algiers Village Sidewalk &amp; Crosswalks</t>
  </si>
  <si>
    <t>Sheffield</t>
  </si>
  <si>
    <t>Pedestrian Enhancement</t>
  </si>
  <si>
    <t>Bristol</t>
  </si>
  <si>
    <t>West Street Sidewalk</t>
  </si>
  <si>
    <t xml:space="preserve">This idea will allow for more bicyclists. I like the idea but wonder if scope needs to be reduced to barre-Montpelier. </t>
  </si>
  <si>
    <t>This village center has many desire lines and could use review</t>
  </si>
  <si>
    <t>The community need description was high level and it would be nice to understand more about the destination or economic story of being a "go to destination"</t>
  </si>
  <si>
    <t xml:space="preserve">The community has good momentum. </t>
  </si>
  <si>
    <t>high aadt and the Towns commitment to convening a traffic safety committee</t>
  </si>
  <si>
    <t>low land use density with some destinations</t>
  </si>
  <si>
    <t>ACRPC letter of support gave some additional helpful info</t>
  </si>
  <si>
    <t>Interesting concept -  potential improvements to connectivity and economic development for the region</t>
  </si>
  <si>
    <t>High speed roads and a lack of safe infrastructure connecting shools, businesses and other village resources.</t>
  </si>
  <si>
    <t>The need is fairly vauge without reference to specific benefits of this study</t>
  </si>
  <si>
    <t>Study area is a popular destination in the summer and has several economic drivers without any or insufficient pedestrian facilities</t>
  </si>
  <si>
    <t>This might be better suited as a small scale project to install a crosswalk and short stretch of sidewalk leading to the store. I'm not seeing many potential alternatives to be studied in this area</t>
  </si>
  <si>
    <t>No existing facilities on a high traffic road. Not much economic drivers in the area besides the post office, but part of a larger trails plan to connect to the school</t>
  </si>
  <si>
    <t>Existing facilities aren't in terrible shape (2023 street view), but are not cohesive. Lots of important economic drivers served by this sidewalk. Facilities on the north side of the road appear to be in good shape</t>
  </si>
  <si>
    <t>Great narative and concept. Good to concentrate on the Rte. 2 cooridoor from Waterbury to Barre</t>
  </si>
  <si>
    <t>Good area to study, esp if the sidewalk to the school is funded</t>
  </si>
  <si>
    <t>Goo to identify and construct links to other facilities in the area</t>
  </si>
  <si>
    <t>Great amount of pre-scoping demo projects and outreach</t>
  </si>
  <si>
    <t>No existing facilities in village so a great improvement</t>
  </si>
  <si>
    <t>Good study area to make village and school more accessable</t>
  </si>
  <si>
    <t>Not sure really needs scoping and perhaps should extend down to new development near fire station</t>
  </si>
  <si>
    <t>explore bike share models</t>
  </si>
  <si>
    <t>ped improvements needed given traffic volume and speed</t>
  </si>
  <si>
    <t>focus on recreation and tourism</t>
  </si>
  <si>
    <t>bike ped infrastructure connecting multiple destinations</t>
  </si>
  <si>
    <t>identified need for safe crossing of rt 5</t>
  </si>
  <si>
    <t>ped in travel lane to get to post office</t>
  </si>
  <si>
    <t>repair existing sidewalk in poor condition (unclear why scoping study needed?)</t>
  </si>
  <si>
    <r>
      <t xml:space="preserve">Ninja Path: Bennington TAP TA 22(9) &amp; Bennington STP BP15(2) - </t>
    </r>
    <r>
      <rPr>
        <b/>
        <sz val="11"/>
        <color theme="1"/>
        <rFont val="Calibri"/>
        <family val="2"/>
        <scheme val="minor"/>
      </rPr>
      <t>Updated 7-22-24</t>
    </r>
  </si>
  <si>
    <t>Rutland</t>
  </si>
  <si>
    <t>Rutland Intermediate School Sidewalk &amp; Safety Improvements</t>
  </si>
  <si>
    <t>Brattleboro</t>
  </si>
  <si>
    <t>Brattleboro Town Common Multi-use Path and Sidewalk Project</t>
  </si>
  <si>
    <t>Bakersfield</t>
  </si>
  <si>
    <t>Installation of Rectangular Rapid Flashing Beacons at Main Street/VT-108 crosswalk to improve safety for Bakersfield children and families.</t>
  </si>
  <si>
    <t>Hinesburg</t>
  </si>
  <si>
    <t>Hinesburg Community School RRFB</t>
  </si>
  <si>
    <t>Windsor</t>
  </si>
  <si>
    <t>Windsor Downtown Pedestrian RRFB Crosswalk Enhancements</t>
  </si>
  <si>
    <t>West Rutland</t>
  </si>
  <si>
    <t>Pleasant Street sidewalk replacement</t>
  </si>
  <si>
    <t xml:space="preserve">Burlington </t>
  </si>
  <si>
    <t>Ethan Allen Parkway Pedestrian Safety Countermeasures</t>
  </si>
  <si>
    <t>Bethel</t>
  </si>
  <si>
    <t>Bethel Main St Village RRFBs</t>
  </si>
  <si>
    <t>Lyndonville</t>
  </si>
  <si>
    <t xml:space="preserve">Maple Street Sidewalk Project </t>
  </si>
  <si>
    <t>Wells River</t>
  </si>
  <si>
    <t>Wells River Village Main St Sidewalk Improvements</t>
  </si>
  <si>
    <t>Middle Road Sidewalk Infill Sections</t>
  </si>
  <si>
    <t>Bradford</t>
  </si>
  <si>
    <t>Bradford Main St ADA Sidewalk Improvements</t>
  </si>
  <si>
    <t>Swanton Village</t>
  </si>
  <si>
    <t>Grand Avenue Sidewalk Replacement</t>
  </si>
  <si>
    <t>Pochop Scores2</t>
  </si>
  <si>
    <t>Bucassi Scores</t>
  </si>
  <si>
    <t>Neary Scores2</t>
  </si>
  <si>
    <t>Hunt Scores2</t>
  </si>
  <si>
    <t>Total Score2</t>
  </si>
  <si>
    <t>Would bring these areas up to standard</t>
  </si>
  <si>
    <t>Sidewalk in very poor shape</t>
  </si>
  <si>
    <t>30 mph and long sight distances</t>
  </si>
  <si>
    <t>Sight distance comprimised to north</t>
  </si>
  <si>
    <t>#1 has blind corner and areas discussed in town and regional plans</t>
  </si>
  <si>
    <t xml:space="preserve">Good sight distances </t>
  </si>
  <si>
    <t>Well documented need</t>
  </si>
  <si>
    <t>Really needed?</t>
  </si>
  <si>
    <t>Full 10'?</t>
  </si>
  <si>
    <t>Good SW on opposite side</t>
  </si>
  <si>
    <t>Will complete block and make ADA compliant</t>
  </si>
  <si>
    <t>Bad condition - will better connect village and park</t>
  </si>
  <si>
    <t>reinstall and some missing gap</t>
  </si>
  <si>
    <t>action plan</t>
  </si>
  <si>
    <t>have a plan either way for these sidewalks but asking for funding help</t>
  </si>
  <si>
    <t xml:space="preserve">needs ada compliance, </t>
  </si>
  <si>
    <t xml:space="preserve">good application </t>
  </si>
  <si>
    <t>improve ped access to intermediate school by filling gaps and replacing sidewalk in poor condition and connect to downtown 1/2 mile south</t>
  </si>
  <si>
    <t xml:space="preserve">new shared use path through commons, formalize existing path of desire, but seems a bit redundant given sidewalk on perimeter. </t>
  </si>
  <si>
    <t>RRFB at crosswalk between school and library, vulnerable users, fast traffic, no speed enforcement. I think a raised crosswalk instead/in addition and potentially traffic calming including speed bumps would be beneficial</t>
  </si>
  <si>
    <t>RRFB at crosswalk for school, sharp turn with intersection, get attention of distracted drivers, raised crosswalk seems appropriate</t>
  </si>
  <si>
    <t>3 RRFB at existing crosswalks, one near swimming area, one at library, one at main street, in all areas it's 25 mph speed limit but traffic is faster ~30pmh</t>
  </si>
  <si>
    <t>repair deteriorating sidewalk, doesn't seem to connect any major origins or destinations</t>
  </si>
  <si>
    <t>speed tables and raised crosswalks and curb extensions and RRFB on local road with schools and park and 85th % speed = 37 mph in 25 mph zone, documented crashes</t>
  </si>
  <si>
    <t>two RRFBs at existing crosswalks in village center at library and town hall</t>
  </si>
  <si>
    <t>replace aging/crumbling downtown sidewalk near library and businesses, ADA improvement</t>
  </si>
  <si>
    <t>replace aging/crumbling downtown asphalt sidewalk near library, bank, laundromat, ADA improvement</t>
  </si>
  <si>
    <t>fill in missing 1000lf of sidewalk in downtown business district</t>
  </si>
  <si>
    <t>upgrade 240lf of sidewalk for ADA, people have tripped and fallen</t>
  </si>
  <si>
    <t>upgrade 708lf of dysfunctional pavement in village center, safe route to school, estimated usage of 110 ped daily and 143 for events</t>
  </si>
  <si>
    <t>Sidewalk directly adjacent to school is in poor condition and former greenbelt has been paved over to be used as parking</t>
  </si>
  <si>
    <t>Existign facilities along and through the park are in poor condition</t>
  </si>
  <si>
    <t>high speed high traffic crossing between school and library</t>
  </si>
  <si>
    <t>high speed high traffic crossing between school and local businesses</t>
  </si>
  <si>
    <t>Traffic exceeds posted spped limits at these crossings near populer institutions and recreational rescoures</t>
  </si>
  <si>
    <t>Missing pedestrian connection between residential and pharmacy, grocery. Wide dangerous x-walk off of Rte 4</t>
  </si>
  <si>
    <t>High spped and high crash location including a school and a park</t>
  </si>
  <si>
    <t>Not enough info substantiating need…high speed, crash history, community members served?</t>
  </si>
  <si>
    <t>Existing facilities on a popular route between municpal offices and businesses is in poor condition</t>
  </si>
  <si>
    <t>Existing facilities in poor condition, and used as parking, serves all village busineses and institutions</t>
  </si>
  <si>
    <t>Existing facilities on east side seem sufficient</t>
  </si>
  <si>
    <t>Existing facilities serving village businesses are in disrepair and inconsistent</t>
  </si>
  <si>
    <t>Existing facilities in disrepair - serves affordable housing an dvillage businesses/einstitutions</t>
  </si>
  <si>
    <t>Total Project Cost</t>
  </si>
  <si>
    <t>Federal Share</t>
  </si>
  <si>
    <t>Federal Funds</t>
  </si>
  <si>
    <t>CRP Funds</t>
  </si>
  <si>
    <t>BP Funds</t>
  </si>
  <si>
    <t>BP Fed Share</t>
  </si>
  <si>
    <t>CRP Fed Share</t>
  </si>
  <si>
    <t>Add'l Funding BP Lg Scale</t>
  </si>
  <si>
    <t>Add'l Funding CRP Lg Scale</t>
  </si>
  <si>
    <t>New Large Scale CRP Funded</t>
  </si>
  <si>
    <t>New Large Scale BP Funded</t>
  </si>
  <si>
    <t>Total Cost Selected</t>
  </si>
  <si>
    <t xml:space="preserve">Large Scale </t>
  </si>
  <si>
    <t>State Funds</t>
  </si>
  <si>
    <t>Scoping Total Fed Funds:</t>
  </si>
  <si>
    <t>Ask to scope all way to Fire Station Road</t>
  </si>
  <si>
    <t>2024 Federal Funds Requests - Funded</t>
  </si>
  <si>
    <t>2024 Total Federal Funds Requests</t>
  </si>
  <si>
    <t>2024 Total Small Scale State Funds Requested</t>
  </si>
  <si>
    <r>
      <t xml:space="preserve">Total </t>
    </r>
    <r>
      <rPr>
        <b/>
        <u/>
        <sz val="11"/>
        <color theme="1"/>
        <rFont val="Calibri"/>
        <family val="2"/>
        <scheme val="minor"/>
      </rPr>
      <t>Funded</t>
    </r>
    <r>
      <rPr>
        <b/>
        <sz val="11"/>
        <color theme="1"/>
        <rFont val="Calibri"/>
        <family val="2"/>
        <scheme val="minor"/>
      </rPr>
      <t xml:space="preserve"> Small Scale State Funds Requested</t>
    </r>
  </si>
  <si>
    <r>
      <t xml:space="preserve">Total </t>
    </r>
    <r>
      <rPr>
        <b/>
        <u/>
        <sz val="11"/>
        <color theme="1"/>
        <rFont val="Calibri"/>
        <family val="2"/>
        <scheme val="minor"/>
      </rPr>
      <t>Funded</t>
    </r>
    <r>
      <rPr>
        <b/>
        <sz val="11"/>
        <color theme="1"/>
        <rFont val="Calibri"/>
        <family val="2"/>
        <scheme val="minor"/>
      </rPr>
      <t xml:space="preserve"> Fed. Funds Requested</t>
    </r>
  </si>
  <si>
    <t>Federal Projects Funded Total Cost</t>
  </si>
  <si>
    <t>Small Scale State Projects Funded Total Cost</t>
  </si>
  <si>
    <t>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</si>
</sst>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16" x14ac:knownFonts="1">
    <font>
      <sz val="11"/>
      <color theme="1"/>
      <name val="Calibri"/>
      <family val="2"/>
      <scheme val="minor"/>
    </font>
    <font>
      <b/>
      <sz val="11"/>
      <color theme="1"/>
      <name val="Calibri"/>
      <family val="2"/>
      <scheme val="minor"/>
    </font>
    <font>
      <sz val="9"/>
      <color theme="1"/>
      <name val="Arial"/>
      <family val="2"/>
    </font>
    <font>
      <sz val="8"/>
      <name val="Calibri"/>
      <family val="2"/>
      <scheme val="minor"/>
    </font>
    <font>
      <b/>
      <sz val="24"/>
      <color theme="1"/>
      <name val="Calibri"/>
      <family val="2"/>
      <scheme val="minor"/>
    </font>
    <font>
      <b/>
      <sz val="16"/>
      <color theme="1"/>
      <name val="Arial"/>
      <family val="2"/>
    </font>
    <font>
      <sz val="20"/>
      <color theme="1"/>
      <name val="Calibri"/>
      <family val="2"/>
      <scheme val="minor"/>
    </font>
    <font>
      <sz val="12"/>
      <color theme="1"/>
      <name val="Calibri"/>
      <family val="2"/>
      <scheme val="minor"/>
    </font>
    <font>
      <sz val="12"/>
      <color theme="1"/>
      <name val="Arial"/>
      <family val="2"/>
    </font>
    <font>
      <b/>
      <sz val="9"/>
      <color theme="1"/>
      <name val="Arial"/>
      <family val="2"/>
    </font>
    <font>
      <sz val="10"/>
      <color theme="1"/>
      <name val="Calibri"/>
      <family val="2"/>
      <scheme val="minor"/>
    </font>
    <font>
      <sz val="8"/>
      <color theme="1"/>
      <name val="Arial"/>
      <family val="2"/>
    </font>
    <font>
      <sz val="24"/>
      <color theme="1"/>
      <name val="Calibri"/>
      <family val="2"/>
      <scheme val="minor"/>
    </font>
    <font>
      <sz val="11"/>
      <color theme="1"/>
      <name val="Calibri"/>
      <family val="2"/>
      <scheme val="minor"/>
    </font>
    <font>
      <sz val="11"/>
      <color theme="1"/>
      <name val="Arial"/>
      <family val="2"/>
    </font>
    <font>
      <b/>
      <u/>
      <sz val="11"/>
      <color theme="1"/>
      <name val="Calibri"/>
      <family val="2"/>
      <scheme val="minor"/>
    </font>
  </fonts>
  <fills count="12">
    <fill>
      <patternFill patternType="none"/>
    </fill>
    <fill>
      <patternFill patternType="gray125"/>
    </fill>
    <fill>
      <patternFill patternType="solid">
        <fgColor rgb="FF92D050"/>
        <bgColor indexed="64"/>
      </patternFill>
    </fill>
    <fill>
      <patternFill patternType="solid">
        <fgColor theme="9" tint="0.59999389629810485"/>
        <bgColor indexed="64"/>
      </patternFill>
    </fill>
    <fill>
      <patternFill patternType="solid">
        <fgColor theme="8" tint="0.59996337778862885"/>
        <bgColor indexed="64"/>
      </patternFill>
    </fill>
    <fill>
      <patternFill patternType="solid">
        <fgColor rgb="FFFFFF00"/>
        <bgColor indexed="64"/>
      </patternFill>
    </fill>
    <fill>
      <patternFill patternType="solid">
        <fgColor theme="0" tint="-0.14996795556505021"/>
        <bgColor indexed="64"/>
      </patternFill>
    </fill>
    <fill>
      <patternFill patternType="solid">
        <fgColor theme="9" tint="0.39997558519241921"/>
        <bgColor indexed="64"/>
      </patternFill>
    </fill>
    <fill>
      <patternFill patternType="gray0625">
        <bgColor rgb="FF84F357"/>
      </patternFill>
    </fill>
    <fill>
      <patternFill patternType="solid">
        <fgColor theme="9" tint="0.59996337778862885"/>
        <bgColor indexed="64"/>
      </patternFill>
    </fill>
    <fill>
      <patternFill patternType="solid">
        <fgColor theme="2" tint="-0.249977111117893"/>
        <bgColor indexed="64"/>
      </patternFill>
    </fill>
    <fill>
      <patternFill patternType="solid">
        <fgColor theme="7" tint="0.3999450666829432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n">
        <color theme="9"/>
      </right>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3" fillId="0" borderId="0" applyFont="0" applyFill="0" applyBorder="0" applyAlignment="0" applyProtection="0"/>
  </cellStyleXfs>
  <cellXfs count="102">
    <xf numFmtId="0" fontId="0" fillId="0" borderId="0" xfId="0"/>
    <xf numFmtId="0" fontId="0" fillId="0" borderId="0" xfId="0" applyAlignment="1">
      <alignment horizontal="left" vertical="top" wrapText="1"/>
    </xf>
    <xf numFmtId="0" fontId="0" fillId="0" borderId="0" xfId="0" applyAlignment="1">
      <alignment wrapText="1"/>
    </xf>
    <xf numFmtId="0" fontId="1" fillId="2" borderId="0" xfId="0" applyFont="1" applyFill="1" applyAlignment="1">
      <alignment horizontal="center" vertical="center" wrapText="1"/>
    </xf>
    <xf numFmtId="0" fontId="6" fillId="0" borderId="0" xfId="0" applyFont="1" applyAlignment="1">
      <alignment horizontal="center" vertical="top" wrapText="1"/>
    </xf>
    <xf numFmtId="0" fontId="0" fillId="4" borderId="0" xfId="0" applyFill="1" applyAlignment="1">
      <alignment horizontal="left" vertical="top" wrapText="1"/>
    </xf>
    <xf numFmtId="0" fontId="8" fillId="0" borderId="1" xfId="0" applyFont="1" applyBorder="1" applyAlignment="1">
      <alignment horizontal="center" vertical="center" wrapText="1"/>
    </xf>
    <xf numFmtId="0" fontId="5" fillId="4"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0" fillId="0" borderId="0" xfId="0" applyAlignment="1">
      <alignment horizontal="center" vertical="center" wrapText="1"/>
    </xf>
    <xf numFmtId="0" fontId="0" fillId="3" borderId="1" xfId="0" applyFill="1" applyBorder="1" applyAlignment="1">
      <alignment horizontal="left" vertical="top" wrapText="1"/>
    </xf>
    <xf numFmtId="0" fontId="0" fillId="0" borderId="1" xfId="0" applyBorder="1" applyAlignment="1">
      <alignment horizontal="center" vertical="center"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0" fillId="4" borderId="0" xfId="0" applyFill="1" applyAlignment="1">
      <alignment horizontal="center" vertical="center" wrapText="1"/>
    </xf>
    <xf numFmtId="0" fontId="0" fillId="0" borderId="0" xfId="0" applyAlignment="1">
      <alignment horizontal="center" vertical="center"/>
    </xf>
    <xf numFmtId="0" fontId="8" fillId="0" borderId="1" xfId="0" applyFont="1" applyBorder="1" applyAlignment="1">
      <alignment horizontal="right" wrapText="1"/>
    </xf>
    <xf numFmtId="0" fontId="0" fillId="0" borderId="0" xfId="0" applyAlignment="1">
      <alignment horizontal="right" wrapText="1"/>
    </xf>
    <xf numFmtId="0" fontId="0" fillId="0" borderId="7" xfId="0" applyBorder="1" applyAlignment="1">
      <alignment wrapText="1"/>
    </xf>
    <xf numFmtId="0" fontId="0" fillId="0" borderId="8" xfId="0" applyBorder="1"/>
    <xf numFmtId="0" fontId="1" fillId="0" borderId="9" xfId="0" applyFont="1" applyBorder="1" applyAlignment="1">
      <alignment wrapText="1"/>
    </xf>
    <xf numFmtId="0" fontId="0" fillId="0" borderId="10" xfId="0" applyBorder="1"/>
    <xf numFmtId="0" fontId="1" fillId="0" borderId="10" xfId="0" applyFont="1" applyBorder="1" applyAlignment="1">
      <alignment wrapText="1"/>
    </xf>
    <xf numFmtId="0" fontId="1" fillId="0" borderId="12" xfId="0" applyFont="1" applyBorder="1" applyAlignment="1">
      <alignment wrapText="1"/>
    </xf>
    <xf numFmtId="0" fontId="0" fillId="0" borderId="13" xfId="0" applyBorder="1"/>
    <xf numFmtId="0" fontId="1" fillId="0" borderId="13" xfId="0" applyFont="1" applyBorder="1" applyAlignment="1">
      <alignment wrapText="1"/>
    </xf>
    <xf numFmtId="164" fontId="10" fillId="0" borderId="1" xfId="0" applyNumberFormat="1" applyFont="1" applyBorder="1" applyAlignment="1">
      <alignment horizontal="right" wrapText="1"/>
    </xf>
    <xf numFmtId="164" fontId="10" fillId="4"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5" borderId="0" xfId="0" applyFill="1" applyAlignment="1">
      <alignment wrapText="1"/>
    </xf>
    <xf numFmtId="164" fontId="0" fillId="0" borderId="0" xfId="0" applyNumberFormat="1" applyAlignment="1">
      <alignment wrapText="1"/>
    </xf>
    <xf numFmtId="165" fontId="0" fillId="0" borderId="0" xfId="0" applyNumberFormat="1"/>
    <xf numFmtId="0" fontId="9" fillId="0" borderId="5" xfId="0" applyFont="1" applyBorder="1" applyAlignment="1">
      <alignment horizontal="center" vertical="center" wrapText="1"/>
    </xf>
    <xf numFmtId="0" fontId="0" fillId="0" borderId="1" xfId="0" applyBorder="1" applyAlignment="1">
      <alignment horizontal="left" vertical="top" wrapText="1"/>
    </xf>
    <xf numFmtId="0" fontId="2" fillId="0" borderId="1" xfId="0" applyFont="1" applyBorder="1" applyAlignment="1">
      <alignment horizontal="center" vertical="center" wrapText="1"/>
    </xf>
    <xf numFmtId="0" fontId="10" fillId="0" borderId="1" xfId="0" applyFont="1" applyBorder="1" applyAlignment="1">
      <alignment horizontal="right" wrapText="1"/>
    </xf>
    <xf numFmtId="0" fontId="0" fillId="4" borderId="1" xfId="0" applyFill="1" applyBorder="1" applyAlignment="1">
      <alignment horizontal="left" vertical="top" wrapText="1"/>
    </xf>
    <xf numFmtId="0" fontId="6" fillId="0" borderId="1" xfId="0" applyFont="1" applyBorder="1" applyAlignment="1">
      <alignment horizontal="center" vertical="top" wrapText="1"/>
    </xf>
    <xf numFmtId="0" fontId="8" fillId="4" borderId="1" xfId="0" applyFont="1" applyFill="1" applyBorder="1" applyAlignment="1">
      <alignment horizontal="left" vertical="top" wrapText="1"/>
    </xf>
    <xf numFmtId="0" fontId="10" fillId="4" borderId="1" xfId="0" applyFont="1" applyFill="1" applyBorder="1" applyAlignment="1">
      <alignment horizontal="left" vertical="top" wrapText="1"/>
    </xf>
    <xf numFmtId="0" fontId="0" fillId="4" borderId="1" xfId="0" applyFill="1" applyBorder="1" applyAlignment="1">
      <alignment horizontal="center" vertical="center" wrapText="1"/>
    </xf>
    <xf numFmtId="0" fontId="0" fillId="7" borderId="1" xfId="0" applyFill="1" applyBorder="1" applyAlignment="1">
      <alignment horizontal="center" vertical="center" wrapText="1"/>
    </xf>
    <xf numFmtId="165" fontId="0" fillId="0" borderId="1" xfId="0" applyNumberFormat="1" applyBorder="1" applyAlignment="1">
      <alignment horizontal="right" wrapText="1"/>
    </xf>
    <xf numFmtId="165" fontId="1" fillId="0" borderId="15" xfId="0" applyNumberFormat="1" applyFont="1" applyBorder="1" applyAlignment="1">
      <alignment horizontal="right" wrapText="1"/>
    </xf>
    <xf numFmtId="164" fontId="0" fillId="0" borderId="1" xfId="0" applyNumberFormat="1" applyBorder="1" applyAlignment="1">
      <alignment horizontal="right" wrapText="1"/>
    </xf>
    <xf numFmtId="164" fontId="1" fillId="0" borderId="1" xfId="0" applyNumberFormat="1" applyFont="1" applyBorder="1" applyAlignment="1">
      <alignment horizontal="center" vertical="center" wrapText="1"/>
    </xf>
    <xf numFmtId="0" fontId="1" fillId="0" borderId="1" xfId="0" applyFont="1" applyBorder="1" applyAlignment="1">
      <alignment horizontal="left" vertical="top" wrapText="1"/>
    </xf>
    <xf numFmtId="164" fontId="1" fillId="0" borderId="1" xfId="0" applyNumberFormat="1" applyFont="1" applyBorder="1" applyAlignment="1">
      <alignment horizontal="left" vertical="top" wrapText="1"/>
    </xf>
    <xf numFmtId="0" fontId="0" fillId="8" borderId="0" xfId="0" applyFill="1" applyAlignment="1">
      <alignment wrapText="1"/>
    </xf>
    <xf numFmtId="0" fontId="12" fillId="0" borderId="1" xfId="0" applyFont="1" applyBorder="1" applyAlignment="1">
      <alignment horizontal="left" vertical="top" wrapText="1"/>
    </xf>
    <xf numFmtId="0" fontId="0" fillId="9" borderId="1" xfId="0" applyFill="1" applyBorder="1"/>
    <xf numFmtId="0" fontId="0" fillId="0" borderId="1" xfId="0" applyBorder="1" applyAlignment="1">
      <alignment wrapText="1"/>
    </xf>
    <xf numFmtId="0" fontId="14" fillId="0" borderId="1" xfId="0" applyFont="1" applyBorder="1" applyAlignment="1">
      <alignment horizontal="center" vertical="center" wrapText="1"/>
    </xf>
    <xf numFmtId="0" fontId="11" fillId="10" borderId="1" xfId="0" applyFont="1" applyFill="1" applyBorder="1" applyAlignment="1">
      <alignment horizontal="center" vertical="center" wrapText="1"/>
    </xf>
    <xf numFmtId="0" fontId="2" fillId="0" borderId="16" xfId="0" applyFont="1" applyBorder="1" applyAlignment="1">
      <alignment horizontal="center" vertical="center" wrapText="1"/>
    </xf>
    <xf numFmtId="0" fontId="0" fillId="0" borderId="17" xfId="0" applyBorder="1" applyAlignment="1">
      <alignment horizontal="center" vertical="center" wrapText="1"/>
    </xf>
    <xf numFmtId="165" fontId="1" fillId="0" borderId="1" xfId="0" applyNumberFormat="1" applyFont="1" applyBorder="1" applyAlignment="1">
      <alignment horizontal="right" wrapText="1"/>
    </xf>
    <xf numFmtId="164" fontId="0" fillId="0" borderId="1" xfId="1" applyNumberFormat="1" applyFont="1" applyBorder="1" applyAlignment="1"/>
    <xf numFmtId="0" fontId="0" fillId="9" borderId="17" xfId="0" applyFill="1" applyBorder="1"/>
    <xf numFmtId="0" fontId="0" fillId="9" borderId="17" xfId="0" applyFill="1" applyBorder="1" applyAlignment="1">
      <alignment wrapText="1"/>
    </xf>
    <xf numFmtId="0" fontId="14" fillId="0" borderId="16" xfId="0" applyFont="1" applyBorder="1" applyAlignment="1">
      <alignment horizontal="center" vertical="center" wrapText="1"/>
    </xf>
    <xf numFmtId="0" fontId="1" fillId="0" borderId="0" xfId="0" applyFont="1" applyAlignment="1">
      <alignment wrapText="1"/>
    </xf>
    <xf numFmtId="0" fontId="0" fillId="3" borderId="5" xfId="0" applyFill="1" applyBorder="1" applyAlignment="1">
      <alignment horizontal="left" vertical="top" wrapText="1"/>
    </xf>
    <xf numFmtId="0" fontId="0" fillId="0" borderId="5" xfId="0" applyBorder="1" applyAlignment="1">
      <alignment horizontal="left" vertical="top" wrapText="1"/>
    </xf>
    <xf numFmtId="0" fontId="0" fillId="0" borderId="5" xfId="0" applyBorder="1" applyAlignment="1">
      <alignment wrapText="1"/>
    </xf>
    <xf numFmtId="164" fontId="0" fillId="0" borderId="5" xfId="0" applyNumberFormat="1" applyBorder="1" applyAlignment="1">
      <alignment horizontal="left" vertical="top" wrapText="1"/>
    </xf>
    <xf numFmtId="164" fontId="0" fillId="0" borderId="0" xfId="0" applyNumberFormat="1" applyAlignment="1">
      <alignment horizontal="right" vertical="center"/>
    </xf>
    <xf numFmtId="164" fontId="0" fillId="0" borderId="6" xfId="0" applyNumberFormat="1" applyBorder="1" applyAlignment="1">
      <alignment horizontal="right" vertical="center"/>
    </xf>
    <xf numFmtId="164" fontId="1" fillId="6" borderId="10" xfId="0" applyNumberFormat="1" applyFont="1" applyFill="1" applyBorder="1" applyAlignment="1">
      <alignment horizontal="right" vertical="center"/>
    </xf>
    <xf numFmtId="0" fontId="0" fillId="2" borderId="1" xfId="0" applyFill="1" applyBorder="1" applyAlignment="1">
      <alignment horizontal="center" vertical="center" wrapText="1"/>
    </xf>
    <xf numFmtId="0" fontId="0" fillId="2" borderId="1" xfId="0" applyFill="1" applyBorder="1" applyAlignment="1">
      <alignment horizontal="left" vertical="top" wrapText="1"/>
    </xf>
    <xf numFmtId="164" fontId="0" fillId="0" borderId="0" xfId="0" applyNumberFormat="1"/>
    <xf numFmtId="0" fontId="0" fillId="2" borderId="1" xfId="0" applyFill="1" applyBorder="1" applyAlignment="1" applyProtection="1">
      <alignment horizontal="left" vertical="top" wrapText="1"/>
      <protection locked="0"/>
    </xf>
    <xf numFmtId="0" fontId="0" fillId="5" borderId="1" xfId="0" applyFill="1" applyBorder="1" applyAlignment="1">
      <alignment horizontal="center" vertical="center" wrapText="1"/>
    </xf>
    <xf numFmtId="164" fontId="0" fillId="5" borderId="0" xfId="0" applyNumberFormat="1" applyFill="1" applyAlignment="1">
      <alignment wrapText="1"/>
    </xf>
    <xf numFmtId="164" fontId="0" fillId="2" borderId="0" xfId="0" applyNumberFormat="1" applyFill="1" applyAlignment="1">
      <alignment wrapText="1"/>
    </xf>
    <xf numFmtId="164" fontId="0" fillId="2" borderId="0" xfId="0" applyNumberFormat="1" applyFill="1"/>
    <xf numFmtId="164" fontId="0" fillId="2" borderId="0" xfId="0" applyNumberFormat="1" applyFill="1" applyProtection="1">
      <protection locked="0"/>
    </xf>
    <xf numFmtId="0" fontId="0" fillId="0" borderId="0" xfId="0" applyAlignment="1" applyProtection="1">
      <alignment wrapText="1"/>
      <protection locked="0"/>
    </xf>
    <xf numFmtId="0" fontId="0" fillId="2" borderId="0" xfId="0" applyFill="1" applyAlignment="1">
      <alignment wrapText="1"/>
    </xf>
    <xf numFmtId="164" fontId="1" fillId="0" borderId="11" xfId="0" applyNumberFormat="1" applyFont="1" applyBorder="1" applyAlignment="1">
      <alignment vertical="center"/>
    </xf>
    <xf numFmtId="3" fontId="0" fillId="0" borderId="0" xfId="0" applyNumberFormat="1" applyAlignment="1">
      <alignment vertical="center"/>
    </xf>
    <xf numFmtId="164" fontId="1" fillId="0" borderId="14" xfId="0" applyNumberFormat="1" applyFont="1" applyBorder="1" applyAlignment="1">
      <alignment vertical="center"/>
    </xf>
    <xf numFmtId="0" fontId="1" fillId="4" borderId="12" xfId="0" applyFont="1" applyFill="1" applyBorder="1" applyAlignment="1">
      <alignment wrapText="1"/>
    </xf>
    <xf numFmtId="0" fontId="0" fillId="4" borderId="13" xfId="0" applyFill="1" applyBorder="1" applyAlignment="1">
      <alignment horizontal="center" vertical="center"/>
    </xf>
    <xf numFmtId="0" fontId="0" fillId="4" borderId="13" xfId="0" applyFill="1" applyBorder="1"/>
    <xf numFmtId="0" fontId="0" fillId="4" borderId="14" xfId="0" applyFill="1" applyBorder="1"/>
    <xf numFmtId="164" fontId="0" fillId="5" borderId="0" xfId="0" applyNumberFormat="1" applyFill="1" applyAlignment="1">
      <alignment horizontal="right" vertical="center"/>
    </xf>
    <xf numFmtId="164" fontId="0" fillId="0" borderId="0" xfId="0" applyNumberFormat="1" applyProtection="1">
      <protection locked="0"/>
    </xf>
    <xf numFmtId="164" fontId="1" fillId="0" borderId="10" xfId="0" applyNumberFormat="1" applyFont="1" applyBorder="1" applyAlignment="1">
      <alignment horizontal="right" vertical="center"/>
    </xf>
    <xf numFmtId="164" fontId="1" fillId="0" borderId="13" xfId="0" applyNumberFormat="1" applyFont="1" applyBorder="1" applyAlignment="1">
      <alignment horizontal="right" vertical="center"/>
    </xf>
    <xf numFmtId="164" fontId="0" fillId="2" borderId="0" xfId="0" applyNumberFormat="1" applyFill="1" applyAlignment="1">
      <alignment horizontal="right" vertical="center"/>
    </xf>
    <xf numFmtId="164" fontId="1" fillId="11" borderId="13" xfId="0" applyNumberFormat="1" applyFont="1" applyFill="1" applyBorder="1" applyAlignment="1">
      <alignment horizontal="right" vertical="center"/>
    </xf>
    <xf numFmtId="164" fontId="0" fillId="11" borderId="0" xfId="0" applyNumberFormat="1" applyFill="1"/>
    <xf numFmtId="164" fontId="0" fillId="5" borderId="0" xfId="0" applyNumberFormat="1" applyFill="1"/>
    <xf numFmtId="165" fontId="0" fillId="2" borderId="0" xfId="0" applyNumberFormat="1" applyFill="1"/>
    <xf numFmtId="164" fontId="0" fillId="6" borderId="0" xfId="0" applyNumberFormat="1" applyFill="1"/>
    <xf numFmtId="164" fontId="0" fillId="6" borderId="0" xfId="0" applyNumberFormat="1" applyFill="1" applyAlignment="1">
      <alignment wrapText="1"/>
    </xf>
    <xf numFmtId="0" fontId="4" fillId="4"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cellXfs>
  <cellStyles count="2">
    <cellStyle name="Currency" xfId="1" builtinId="4"/>
    <cellStyle name="Normal" xfId="0" builtinId="0"/>
  </cellStyles>
  <dxfs count="79">
    <dxf>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64" formatCode="&quot;$&quot;#,##0"/>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9" tint="0.5999938962981048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left"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92D050"/>
        </patternFill>
      </fill>
      <alignment horizontal="center" vertical="center"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ill>
        <patternFill patternType="solid">
          <fgColor indexed="64"/>
          <bgColor theme="9" tint="0.59999389629810485"/>
        </patternFill>
      </fill>
      <alignment horizontal="left" vertical="top" textRotation="0" wrapText="1" indent="0" justifyLastLine="0" shrinkToFit="0" readingOrder="0"/>
    </dxf>
    <dxf>
      <alignment horizontal="left"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92D05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z val="12"/>
        <name val="Arial"/>
        <family val="2"/>
        <scheme val="none"/>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solid">
          <fgColor indexed="64"/>
          <bgColor theme="9" tint="0.5999938962981048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left"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92D050"/>
        </patternFill>
      </fill>
      <alignment horizontal="center" vertical="center" textRotation="0" wrapText="1" indent="0" justifyLastLine="0" shrinkToFit="0" readingOrder="0"/>
    </dxf>
  </dxfs>
  <tableStyles count="0" defaultTableStyle="TableStyleMedium2" defaultPivotStyle="PivotStyleLight16"/>
  <colors>
    <mruColors>
      <color rgb="FF84F3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027A72-6FA5-47FB-8864-1C90771F92E4}" name="Table1" displayName="Table1" ref="A2:M20" totalsRowShown="0" headerRowDxfId="78" dataDxfId="77">
  <autoFilter ref="A2:M20" xr:uid="{CA952515-CC81-4D9B-A7F4-B72D1C6A1D2A}"/>
  <tableColumns count="13">
    <tableColumn id="2" xr3:uid="{CFBD6A1D-0A5C-4E6C-B3B7-B686A5403550}" name="Town/Applicant" dataDxfId="76"/>
    <tableColumn id="3" xr3:uid="{7E3722A4-BA45-4F05-8911-40613483F0A9}" name="Project Description" dataDxfId="75"/>
    <tableColumn id="5" xr3:uid="{723994E0-E8DC-497E-BEA1-947FCB3DD070}" name="Pochop Comments (Need)" dataDxfId="74"/>
    <tableColumn id="9" xr3:uid="{2EC79EF3-E95B-4647-9848-AB72859B97DA}" name="Bucossi Comments (Need)" dataDxfId="73"/>
    <tableColumn id="10" xr3:uid="{8D0FAE9E-733D-4F8C-9AB5-6F7301E93149}" name="Lattanzi Comments (Need)" dataDxfId="72"/>
    <tableColumn id="8" xr3:uid="{4745EE40-1181-466D-98E4-93BF2CDDF1C3}" name="Neary Comments (Need)" dataDxfId="71"/>
    <tableColumn id="7" xr3:uid="{314EDF42-5154-4162-8D19-403D31637633}" name="Hunt Comments (Need)" dataDxfId="70"/>
    <tableColumn id="6" xr3:uid="{A75FC446-40E3-431D-B58B-65EABF3075A7}" name="Pochop Scores" dataDxfId="69"/>
    <tableColumn id="11" xr3:uid="{065C88F1-1B72-443B-A074-4631C1B155FB}" name="Bucossi Score" dataDxfId="68"/>
    <tableColumn id="12" xr3:uid="{797F819F-4531-4293-829E-8188E8108A93}" name="Lattanzi Scores" dataDxfId="67"/>
    <tableColumn id="13" xr3:uid="{A89B5F93-1ED4-4A67-AD68-0D8B6576B1D8}" name="Neary Scores" dataDxfId="66"/>
    <tableColumn id="14" xr3:uid="{5C68ED01-AC6D-4502-89CC-A2C7C73FB594}" name="Hunt Scores" dataDxfId="65"/>
    <tableColumn id="15" xr3:uid="{EB7CBA7E-5C6F-4638-9E00-BC9F072CF119}" name="Total Score" dataDxfId="64">
      <calculatedColumnFormula>SUM(#REF!)</calculatedColumnFormula>
    </tableColumn>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0BFD5D1-97BC-418F-8001-96EFEEDF5CCA}" name="Table16" displayName="Table16" ref="A1:P17" totalsRowShown="0" headerRowDxfId="63" dataDxfId="62">
  <autoFilter ref="A1:P17" xr:uid="{E02E3ECE-336B-4CEF-A310-2EFE625C1094}"/>
  <sortState xmlns:xlrd2="http://schemas.microsoft.com/office/spreadsheetml/2017/richdata2" ref="A2:B17">
    <sortCondition ref="A1:A17"/>
  </sortState>
  <tableColumns count="16">
    <tableColumn id="2" xr3:uid="{E47E2E5C-AF28-491B-8E91-1A7BA918ADAA}" name="Town/Applicant" dataDxfId="61"/>
    <tableColumn id="3" xr3:uid="{9140FFBA-BC1D-47C8-8C3A-4A7A55177C5F}" name="Project Description" dataDxfId="60"/>
    <tableColumn id="7" xr3:uid="{AED0C23A-48B3-4972-B2EA-D1702E4BD693}" name="Pochop Comments" dataDxfId="59"/>
    <tableColumn id="10" xr3:uid="{79562F63-EA0C-408B-9866-BC3863AC7E63}" name="Bucossi Comment" dataDxfId="58"/>
    <tableColumn id="12" xr3:uid="{0C1CB04D-7F1E-459C-B3F6-11C14B0028A2}" name="Lattanzi Comments" dataDxfId="57"/>
    <tableColumn id="14" xr3:uid="{A737F78C-E57C-489A-BD68-C8ED8B92A171}" name="Neary Comments" dataDxfId="56"/>
    <tableColumn id="15" xr3:uid="{3F6EF115-7ED6-4826-AE45-4B7A48C6787F}" name="Hunt Comments" dataDxfId="55"/>
    <tableColumn id="8" xr3:uid="{714FD33F-A35B-43ED-8D59-C6914C169186}" name="Pochop Scores" dataDxfId="54"/>
    <tableColumn id="11" xr3:uid="{9B8CCF09-D1DC-4E22-B9FB-A1A466855DD0}" name="Bucossi Scores" dataDxfId="53"/>
    <tableColumn id="13" xr3:uid="{34F3E563-4AE7-470C-A301-5F149164E74A}" name="Lattanzi Scores" dataDxfId="52"/>
    <tableColumn id="18" xr3:uid="{DD8974B9-C560-4A88-9263-E7145D5B2375}" name="Neary Scores" dataDxfId="51"/>
    <tableColumn id="16" xr3:uid="{1F261373-C57B-4563-B3C7-62E414273974}" name="Hunt Scores" dataDxfId="50"/>
    <tableColumn id="9" xr3:uid="{A2A64D99-0657-4D56-82BD-5F24623A8DEB}" name="Total Score" dataDxfId="49">
      <calculatedColumnFormula>SUM(#REF!)</calculatedColumnFormula>
    </tableColumn>
    <tableColumn id="5" xr3:uid="{A4972332-1CD2-466D-A885-4049A6566501}" name="Total Cost" dataDxfId="48"/>
    <tableColumn id="6" xr3:uid="{7E001B44-DA5C-4E4A-94FA-30BB73934BDC}" name="Federal Funds Portion" dataDxfId="47">
      <calculatedColumnFormula>0.8*Table16[[#This Row],[Total Cost]]</calculatedColumnFormula>
    </tableColumn>
    <tableColumn id="1" xr3:uid="{EDF05030-B8F9-4E2A-BE77-4A75834B1FDE}" name="Rank" dataDxfId="46"/>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6EF24E-EDCA-4A7A-8305-36133B165EDC}" name="Table13" displayName="Table13" ref="A1:V16" totalsRowCount="1" headerRowDxfId="45" dataDxfId="44">
  <autoFilter ref="A1:V15" xr:uid="{CA952515-CC81-4D9B-A7F4-B72D1C6A1D2A}"/>
  <sortState xmlns:xlrd2="http://schemas.microsoft.com/office/spreadsheetml/2017/richdata2" ref="A2:G12">
    <sortCondition ref="A12"/>
  </sortState>
  <tableColumns count="22">
    <tableColumn id="2" xr3:uid="{9DBD6204-2664-401C-9738-23B59A653A43}" name="Town/Applicant" dataDxfId="43" totalsRowDxfId="42"/>
    <tableColumn id="3" xr3:uid="{4E635E4F-F3A6-4F78-80C7-59207E30D3A5}" name="Project Description" dataDxfId="41" totalsRowDxfId="40"/>
    <tableColumn id="10" xr3:uid="{16342F15-CAC9-411A-9541-767B5F5A2015}" name="Pochop Comments" dataDxfId="39" totalsRowDxfId="38"/>
    <tableColumn id="11" xr3:uid="{8214CF3A-9190-4467-B5E0-D2CEF3D9444D}" name="Bucossi Comment" dataDxfId="37" totalsRowDxfId="36"/>
    <tableColumn id="12" xr3:uid="{240EBBC2-9163-46C7-80E9-04B75E443216}" name="Lattanzi Comments" dataDxfId="35" totalsRowDxfId="34"/>
    <tableColumn id="8" xr3:uid="{3C723176-B14A-4BED-B819-A2E601347CF7}" name="Neary Comments" dataDxfId="33" totalsRowDxfId="32"/>
    <tableColumn id="9" xr3:uid="{5773CF64-4124-412E-9A9D-B2B44E2B7650}" name="Hunt Comments" dataDxfId="31" totalsRowDxfId="30"/>
    <tableColumn id="15" xr3:uid="{7C7BD450-7107-492F-A90B-1D50F172DFD1}" name="Pochop Scores" dataDxfId="29" totalsRowDxfId="28"/>
    <tableColumn id="17" xr3:uid="{C0F71ACF-0FAA-4C1C-AB41-BC4D12DF2828}" name="Bucossi Score" dataDxfId="27" totalsRowDxfId="26"/>
    <tableColumn id="16" xr3:uid="{EA51E5A1-F058-4F74-940A-A92F5C123B30}" name="Holland Scores" dataDxfId="25" totalsRowDxfId="24"/>
    <tableColumn id="14" xr3:uid="{A07FD0D3-EB27-4B78-AB00-C72290FA70CA}" name="Neary Scores" dataDxfId="23" totalsRowDxfId="22"/>
    <tableColumn id="13" xr3:uid="{2F908234-C9EC-442B-AA1C-0252083C29B3}" name="Hunt Scores" dataDxfId="21" totalsRowDxfId="20"/>
    <tableColumn id="4" xr3:uid="{24B5A2F8-C0F1-479A-839D-5C723E1E960A}" name="Pochop Scores2" dataDxfId="19" totalsRowDxfId="18">
      <calculatedColumnFormula>SUM(C2,E2,G2,I2,K2)</calculatedColumnFormula>
    </tableColumn>
    <tableColumn id="7" xr3:uid="{D5752EDA-B7C2-464C-808D-21264763B123}" name="Bucassi Scores" dataDxfId="17" totalsRowDxfId="16">
      <calculatedColumnFormula>SUM(D2,F2,H2,J2,L2)</calculatedColumnFormula>
    </tableColumn>
    <tableColumn id="20" xr3:uid="{2BEE8A4F-3E19-496B-BC24-86E176B48D7A}" name="Lattanzi Scores" dataDxfId="15" totalsRowDxfId="14"/>
    <tableColumn id="21" xr3:uid="{BA4B8FAD-D826-46CE-8011-38981CE27B1C}" name="Neary Scores2" dataDxfId="13" totalsRowDxfId="12"/>
    <tableColumn id="19" xr3:uid="{94F5D460-0CCB-4460-8A05-A0E1BAE6DE50}" name="Hunt Scores2" dataDxfId="11" totalsRowDxfId="10"/>
    <tableColumn id="22" xr3:uid="{41C4DF9C-CFD8-43CC-AE97-B2B2077103AD}" name="Total Score" dataDxfId="9" totalsRowDxfId="8">
      <calculatedColumnFormula>SUBTOTAL(109,M2:Q2)</calculatedColumnFormula>
    </tableColumn>
    <tableColumn id="18" xr3:uid="{57CB49C3-65C6-44B6-B76C-033FE76AA938}" name="Total Score2" dataDxfId="7" totalsRowDxfId="6">
      <calculatedColumnFormula>SUM(#REF!)</calculatedColumnFormula>
    </tableColumn>
    <tableColumn id="5" xr3:uid="{6451D442-3E62-4DBE-9B45-8ADAFBDD82DE}" name="Total Cost" totalsRowFunction="sum" dataDxfId="5" totalsRowDxfId="4"/>
    <tableColumn id="6" xr3:uid="{0AB0DB6C-4B41-4CE9-9FC7-EA68D5EDDECE}" name="State Funding" dataDxfId="3" totalsRowDxfId="2">
      <calculatedColumnFormula>0.5*Table13[[#This Row],[Total Cost]]</calculatedColumnFormula>
    </tableColumn>
    <tableColumn id="1" xr3:uid="{79C805BB-E7F9-4896-BFDC-E8DD24DF01F3}" name="Rank" dataDxfId="1" totalsRowDxfId="0"/>
  </tableColumns>
  <tableStyleInfo name="TableStyleLight1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F4067-7F61-4506-826D-993D5EB32F9C}">
  <sheetPr>
    <pageSetUpPr fitToPage="1"/>
  </sheetPr>
  <dimension ref="A1:U20"/>
  <sheetViews>
    <sheetView topLeftCell="A7" zoomScaleNormal="100" workbookViewId="0">
      <pane xSplit="1" topLeftCell="G1" activePane="topRight" state="frozen"/>
      <selection activeCell="A8" sqref="A8"/>
      <selection pane="topRight" activeCell="N11" sqref="N11"/>
    </sheetView>
  </sheetViews>
  <sheetFormatPr defaultColWidth="9.140625" defaultRowHeight="15" x14ac:dyDescent="0.25"/>
  <cols>
    <col min="1" max="1" width="23" style="2" customWidth="1"/>
    <col min="2" max="2" width="57.7109375" style="2" customWidth="1"/>
    <col min="3" max="3" width="34.140625" style="2" customWidth="1"/>
    <col min="4" max="4" width="30.7109375" style="2" customWidth="1"/>
    <col min="5" max="6" width="31.42578125" style="2" customWidth="1"/>
    <col min="7" max="7" width="29.140625" customWidth="1"/>
    <col min="8" max="8" width="15.7109375" style="2" customWidth="1"/>
    <col min="9" max="9" width="14.5703125" style="2" customWidth="1"/>
    <col min="10" max="10" width="13.7109375" style="2" customWidth="1"/>
    <col min="11" max="16" width="13.7109375" customWidth="1"/>
    <col min="17" max="18" width="21.42578125" style="2" customWidth="1"/>
    <col min="19" max="19" width="23.85546875" style="2" customWidth="1"/>
    <col min="20" max="20" width="9.140625" style="2"/>
    <col min="21" max="21" width="10.140625" style="2" bestFit="1" customWidth="1"/>
    <col min="22" max="16384" width="9.140625" style="2"/>
  </cols>
  <sheetData>
    <row r="1" spans="1:21" ht="58.5" customHeight="1" thickBot="1" x14ac:dyDescent="0.3">
      <c r="A1" s="99" t="s">
        <v>43</v>
      </c>
      <c r="B1" s="100"/>
      <c r="C1" s="101"/>
      <c r="D1" s="8"/>
      <c r="E1" s="8"/>
      <c r="F1" s="8"/>
      <c r="G1" s="8"/>
      <c r="H1" s="8"/>
      <c r="I1" s="8"/>
      <c r="J1" s="8"/>
      <c r="K1" s="8"/>
      <c r="L1" s="8"/>
      <c r="M1" s="8"/>
      <c r="N1" s="8"/>
      <c r="O1" s="8"/>
      <c r="P1" s="8"/>
      <c r="Q1" s="7"/>
    </row>
    <row r="2" spans="1:21" ht="27" customHeight="1" thickBot="1" x14ac:dyDescent="0.3">
      <c r="A2" s="3" t="s">
        <v>2</v>
      </c>
      <c r="B2" s="3" t="s">
        <v>3</v>
      </c>
      <c r="C2" s="3" t="s">
        <v>29</v>
      </c>
      <c r="D2" s="3" t="s">
        <v>28</v>
      </c>
      <c r="E2" s="3" t="s">
        <v>44</v>
      </c>
      <c r="F2" s="3" t="s">
        <v>31</v>
      </c>
      <c r="G2" s="3" t="s">
        <v>30</v>
      </c>
      <c r="H2" s="3" t="s">
        <v>12</v>
      </c>
      <c r="I2" s="3" t="s">
        <v>15</v>
      </c>
      <c r="J2" s="3" t="s">
        <v>45</v>
      </c>
      <c r="K2" s="3" t="s">
        <v>18</v>
      </c>
      <c r="L2" s="3" t="s">
        <v>22</v>
      </c>
      <c r="M2" s="3" t="s">
        <v>13</v>
      </c>
      <c r="N2" s="3" t="s">
        <v>4</v>
      </c>
      <c r="O2" s="33" t="s">
        <v>5</v>
      </c>
      <c r="P2" s="9" t="s">
        <v>42</v>
      </c>
    </row>
    <row r="3" spans="1:21" ht="45.75" thickBot="1" x14ac:dyDescent="0.3">
      <c r="A3" s="51" t="s">
        <v>21</v>
      </c>
      <c r="B3" s="52" t="s">
        <v>48</v>
      </c>
      <c r="C3" s="29" t="s">
        <v>74</v>
      </c>
      <c r="D3" s="29" t="s">
        <v>83</v>
      </c>
      <c r="E3" s="53" t="s">
        <v>65</v>
      </c>
      <c r="F3" s="28"/>
      <c r="G3" s="29" t="s">
        <v>91</v>
      </c>
      <c r="H3" s="28">
        <v>79</v>
      </c>
      <c r="I3" s="28">
        <v>80</v>
      </c>
      <c r="J3" s="28">
        <v>99</v>
      </c>
      <c r="K3" s="55">
        <v>93</v>
      </c>
      <c r="L3" s="28">
        <v>83</v>
      </c>
      <c r="M3" s="28">
        <f>SUM(Table1[[#This Row],[Pochop Scores]:[Hunt Scores]])</f>
        <v>434</v>
      </c>
      <c r="N3" s="26">
        <v>704000</v>
      </c>
      <c r="O3" s="26">
        <f>0.8*N3</f>
        <v>563200</v>
      </c>
      <c r="P3" s="70">
        <v>1</v>
      </c>
    </row>
    <row r="4" spans="1:21" ht="57.75" thickBot="1" x14ac:dyDescent="0.3">
      <c r="A4" s="51" t="s">
        <v>49</v>
      </c>
      <c r="B4" s="52" t="s">
        <v>50</v>
      </c>
      <c r="C4" s="29" t="s">
        <v>75</v>
      </c>
      <c r="D4" s="29" t="s">
        <v>84</v>
      </c>
      <c r="E4" s="53" t="s">
        <v>66</v>
      </c>
      <c r="F4" s="28"/>
      <c r="G4" s="29" t="s">
        <v>92</v>
      </c>
      <c r="H4" s="28">
        <v>57</v>
      </c>
      <c r="I4" s="28">
        <v>77</v>
      </c>
      <c r="J4" s="28">
        <v>76</v>
      </c>
      <c r="K4" s="55">
        <v>68</v>
      </c>
      <c r="L4" s="28">
        <v>67</v>
      </c>
      <c r="M4" s="28">
        <f>SUM(Table1[[#This Row],[Pochop Scores]:[Hunt Scores]])</f>
        <v>345</v>
      </c>
      <c r="N4" s="26">
        <v>454653</v>
      </c>
      <c r="O4" s="26">
        <f t="shared" ref="O4:O11" si="0">0.8*N4</f>
        <v>363722.4</v>
      </c>
      <c r="P4" s="70">
        <v>7</v>
      </c>
    </row>
    <row r="5" spans="1:21" ht="86.25" thickBot="1" x14ac:dyDescent="0.3">
      <c r="A5" s="51" t="s">
        <v>51</v>
      </c>
      <c r="B5" s="52" t="s">
        <v>52</v>
      </c>
      <c r="C5" s="29" t="s">
        <v>76</v>
      </c>
      <c r="D5" s="29" t="s">
        <v>85</v>
      </c>
      <c r="E5" s="53" t="s">
        <v>67</v>
      </c>
      <c r="F5" s="28"/>
      <c r="G5" s="29" t="s">
        <v>93</v>
      </c>
      <c r="H5" s="28">
        <v>85</v>
      </c>
      <c r="I5" s="28">
        <v>82</v>
      </c>
      <c r="J5" s="28">
        <v>94</v>
      </c>
      <c r="K5" s="55">
        <v>85</v>
      </c>
      <c r="L5" s="28">
        <v>83</v>
      </c>
      <c r="M5" s="28">
        <f>SUM(Table1[[#This Row],[Pochop Scores]:[Hunt Scores]])</f>
        <v>429</v>
      </c>
      <c r="N5" s="26">
        <v>680000</v>
      </c>
      <c r="O5" s="26">
        <f t="shared" si="0"/>
        <v>544000</v>
      </c>
      <c r="P5" s="70">
        <v>2</v>
      </c>
      <c r="Q5" s="2" t="s">
        <v>224</v>
      </c>
      <c r="S5" s="75">
        <f>SUM(O8,O11)</f>
        <v>1272304</v>
      </c>
    </row>
    <row r="6" spans="1:21" ht="100.5" thickBot="1" x14ac:dyDescent="0.3">
      <c r="A6" s="51" t="s">
        <v>53</v>
      </c>
      <c r="B6" s="52" t="s">
        <v>54</v>
      </c>
      <c r="C6" s="29" t="s">
        <v>77</v>
      </c>
      <c r="D6" s="29" t="s">
        <v>86</v>
      </c>
      <c r="E6" s="53" t="s">
        <v>68</v>
      </c>
      <c r="F6" s="28"/>
      <c r="G6" s="29" t="s">
        <v>94</v>
      </c>
      <c r="H6" s="28">
        <v>74</v>
      </c>
      <c r="I6" s="28">
        <v>65</v>
      </c>
      <c r="J6" s="28">
        <v>89</v>
      </c>
      <c r="K6" s="55">
        <v>78</v>
      </c>
      <c r="L6" s="28">
        <v>80</v>
      </c>
      <c r="M6" s="28">
        <f>SUM(Table1[[#This Row],[Pochop Scores]:[Hunt Scores]])</f>
        <v>386</v>
      </c>
      <c r="N6" s="26">
        <v>1522152</v>
      </c>
      <c r="O6" s="26">
        <f>0.8*N6</f>
        <v>1217721.6000000001</v>
      </c>
      <c r="P6" s="70">
        <v>6</v>
      </c>
      <c r="Q6" s="2" t="s">
        <v>223</v>
      </c>
      <c r="S6" s="76">
        <f>SUM(O3,O4,O5,O6,O9)</f>
        <v>3322756</v>
      </c>
      <c r="U6" s="98">
        <f>SUM(S5:S6)</f>
        <v>4595060</v>
      </c>
    </row>
    <row r="7" spans="1:21" ht="57.75" thickBot="1" x14ac:dyDescent="0.3">
      <c r="A7" s="51" t="s">
        <v>55</v>
      </c>
      <c r="B7" s="52" t="s">
        <v>56</v>
      </c>
      <c r="C7" s="29" t="s">
        <v>78</v>
      </c>
      <c r="D7" s="54"/>
      <c r="E7" s="53" t="s">
        <v>69</v>
      </c>
      <c r="F7" s="28"/>
      <c r="G7" s="29" t="s">
        <v>95</v>
      </c>
      <c r="H7" s="28">
        <v>62</v>
      </c>
      <c r="I7" s="28">
        <v>57</v>
      </c>
      <c r="J7" s="28">
        <v>30</v>
      </c>
      <c r="K7" s="55">
        <v>77</v>
      </c>
      <c r="L7" s="28">
        <v>36</v>
      </c>
      <c r="M7" s="28">
        <f>SUM(Table1[[#This Row],[Pochop Scores]:[Hunt Scores]])</f>
        <v>262</v>
      </c>
      <c r="N7" s="26">
        <v>697000</v>
      </c>
      <c r="O7" s="26">
        <f t="shared" si="0"/>
        <v>557600</v>
      </c>
      <c r="P7" s="11">
        <v>9</v>
      </c>
      <c r="R7" s="2" t="s">
        <v>218</v>
      </c>
      <c r="S7" s="2" t="s">
        <v>219</v>
      </c>
    </row>
    <row r="8" spans="1:21" ht="100.5" thickBot="1" x14ac:dyDescent="0.3">
      <c r="A8" s="51" t="s">
        <v>57</v>
      </c>
      <c r="B8" s="52" t="s">
        <v>58</v>
      </c>
      <c r="C8" s="29" t="s">
        <v>79</v>
      </c>
      <c r="D8" s="29" t="s">
        <v>87</v>
      </c>
      <c r="E8" s="53" t="s">
        <v>70</v>
      </c>
      <c r="F8" s="28"/>
      <c r="G8" s="29" t="s">
        <v>96</v>
      </c>
      <c r="H8" s="28">
        <v>72</v>
      </c>
      <c r="I8" s="28">
        <v>75</v>
      </c>
      <c r="J8" s="28">
        <v>85</v>
      </c>
      <c r="K8" s="55">
        <v>83</v>
      </c>
      <c r="L8" s="28">
        <v>81</v>
      </c>
      <c r="M8" s="28">
        <f>SUM(Table1[[#This Row],[Pochop Scores]:[Hunt Scores]])</f>
        <v>396</v>
      </c>
      <c r="N8" s="26">
        <v>225000</v>
      </c>
      <c r="O8" s="26">
        <f>0.8*N8</f>
        <v>180000</v>
      </c>
      <c r="P8" s="74">
        <v>4</v>
      </c>
      <c r="R8" s="31">
        <f>SUM(N3,N4,N5,N6,N8,N9,N11)</f>
        <v>5743825</v>
      </c>
      <c r="S8" s="31">
        <f>SUM(S5:S7)</f>
        <v>4595060</v>
      </c>
    </row>
    <row r="9" spans="1:21" ht="43.5" thickBot="1" x14ac:dyDescent="0.3">
      <c r="A9" s="51" t="s">
        <v>59</v>
      </c>
      <c r="B9" s="52" t="s">
        <v>60</v>
      </c>
      <c r="C9" s="29" t="s">
        <v>80</v>
      </c>
      <c r="D9" s="29" t="s">
        <v>88</v>
      </c>
      <c r="E9" s="53" t="s">
        <v>71</v>
      </c>
      <c r="F9" s="28"/>
      <c r="G9" s="29" t="s">
        <v>97</v>
      </c>
      <c r="H9" s="28">
        <v>83</v>
      </c>
      <c r="I9" s="28">
        <v>79</v>
      </c>
      <c r="J9" s="28">
        <v>81</v>
      </c>
      <c r="K9" s="55">
        <v>69</v>
      </c>
      <c r="L9" s="28">
        <v>77</v>
      </c>
      <c r="M9" s="28">
        <f>SUM(Table1[[#This Row],[Pochop Scores]:[Hunt Scores]])</f>
        <v>389</v>
      </c>
      <c r="N9" s="26">
        <v>792640</v>
      </c>
      <c r="O9" s="26">
        <f>0.8*N9</f>
        <v>634112</v>
      </c>
      <c r="P9" s="70">
        <v>5</v>
      </c>
      <c r="S9" s="31"/>
    </row>
    <row r="10" spans="1:21" ht="86.25" thickBot="1" x14ac:dyDescent="0.3">
      <c r="A10" s="51" t="s">
        <v>61</v>
      </c>
      <c r="B10" s="52" t="s">
        <v>62</v>
      </c>
      <c r="C10" s="29" t="s">
        <v>81</v>
      </c>
      <c r="D10" s="29" t="s">
        <v>89</v>
      </c>
      <c r="E10" s="53" t="s">
        <v>72</v>
      </c>
      <c r="F10" s="28"/>
      <c r="G10" s="29" t="s">
        <v>98</v>
      </c>
      <c r="H10" s="28">
        <v>68</v>
      </c>
      <c r="I10" s="28">
        <v>73</v>
      </c>
      <c r="J10" s="28">
        <v>62</v>
      </c>
      <c r="K10" s="55">
        <v>68</v>
      </c>
      <c r="L10" s="28">
        <v>71</v>
      </c>
      <c r="M10" s="28">
        <f>SUM(Table1[[#This Row],[Pochop Scores]:[Hunt Scores]])</f>
        <v>342</v>
      </c>
      <c r="N10" s="26">
        <v>747713</v>
      </c>
      <c r="O10" s="26">
        <f t="shared" si="0"/>
        <v>598170.4</v>
      </c>
      <c r="P10" s="11">
        <v>8</v>
      </c>
      <c r="Q10" s="2" t="s">
        <v>222</v>
      </c>
    </row>
    <row r="11" spans="1:21" ht="85.5" x14ac:dyDescent="0.25">
      <c r="A11" s="51" t="s">
        <v>63</v>
      </c>
      <c r="B11" s="52" t="s">
        <v>64</v>
      </c>
      <c r="C11" s="29" t="s">
        <v>82</v>
      </c>
      <c r="D11" s="29" t="s">
        <v>90</v>
      </c>
      <c r="E11" s="53" t="s">
        <v>73</v>
      </c>
      <c r="F11" s="28"/>
      <c r="G11" s="29" t="s">
        <v>99</v>
      </c>
      <c r="H11" s="28">
        <v>81</v>
      </c>
      <c r="I11" s="28">
        <v>86</v>
      </c>
      <c r="J11" s="28">
        <v>91</v>
      </c>
      <c r="K11" s="55">
        <v>76</v>
      </c>
      <c r="L11" s="28">
        <v>90</v>
      </c>
      <c r="M11" s="28">
        <f>SUM(Table1[[#This Row],[Pochop Scores]:[Hunt Scores]])</f>
        <v>424</v>
      </c>
      <c r="N11" s="26">
        <v>1365380</v>
      </c>
      <c r="O11" s="26">
        <f t="shared" si="0"/>
        <v>1092304</v>
      </c>
      <c r="P11" s="74">
        <v>3</v>
      </c>
    </row>
    <row r="12" spans="1:21" ht="0.95" customHeight="1" x14ac:dyDescent="0.25">
      <c r="A12" s="10"/>
      <c r="B12" s="34"/>
      <c r="C12" s="28"/>
      <c r="D12" s="11"/>
      <c r="E12" s="29"/>
      <c r="F12" s="28"/>
      <c r="G12" s="28"/>
      <c r="H12" s="28"/>
      <c r="I12" s="28"/>
      <c r="J12" s="28"/>
      <c r="K12" s="28"/>
      <c r="L12" s="28"/>
      <c r="M12" s="28"/>
      <c r="N12" s="26"/>
      <c r="O12" s="26"/>
      <c r="P12" s="11"/>
    </row>
    <row r="13" spans="1:21" ht="0.95" customHeight="1" x14ac:dyDescent="0.25">
      <c r="A13" s="10"/>
      <c r="B13" s="34"/>
      <c r="C13" s="28"/>
      <c r="D13" s="28"/>
      <c r="E13" s="29"/>
      <c r="F13" s="28"/>
      <c r="G13" s="28"/>
      <c r="H13" s="28"/>
      <c r="I13" s="28"/>
      <c r="J13" s="28"/>
      <c r="K13" s="28"/>
      <c r="L13" s="28"/>
      <c r="M13" s="28"/>
      <c r="N13" s="26"/>
      <c r="O13" s="26"/>
      <c r="P13" s="11"/>
      <c r="Q13" s="2" t="s">
        <v>33</v>
      </c>
    </row>
    <row r="14" spans="1:21" ht="0.95" customHeight="1" x14ac:dyDescent="0.25">
      <c r="A14" s="10"/>
      <c r="B14" s="34"/>
      <c r="C14" s="28"/>
      <c r="D14" s="28"/>
      <c r="E14" s="29"/>
      <c r="F14" s="28"/>
      <c r="G14" s="28"/>
      <c r="H14" s="28"/>
      <c r="I14" s="28"/>
      <c r="J14" s="28"/>
      <c r="K14" s="28"/>
      <c r="L14" s="28"/>
      <c r="M14" s="28"/>
      <c r="N14" s="26"/>
      <c r="O14" s="26"/>
      <c r="P14" s="11"/>
      <c r="Q14" s="49" t="s">
        <v>32</v>
      </c>
      <c r="R14" s="31">
        <f>SUM(O5,O16,O17)</f>
        <v>544000</v>
      </c>
    </row>
    <row r="15" spans="1:21" ht="0.95" customHeight="1" x14ac:dyDescent="0.25">
      <c r="A15" s="10"/>
      <c r="B15" s="34"/>
      <c r="C15" s="28"/>
      <c r="D15" s="28"/>
      <c r="E15" s="29"/>
      <c r="F15" s="28"/>
      <c r="G15" s="28"/>
      <c r="H15" s="28"/>
      <c r="I15" s="28"/>
      <c r="J15" s="28"/>
      <c r="K15" s="28"/>
      <c r="L15" s="28"/>
      <c r="M15" s="28"/>
      <c r="N15" s="26"/>
      <c r="O15" s="26"/>
      <c r="P15" s="11"/>
    </row>
    <row r="16" spans="1:21" ht="0.95" customHeight="1" x14ac:dyDescent="0.25">
      <c r="A16" s="10"/>
      <c r="B16" s="34"/>
      <c r="C16" s="28"/>
      <c r="D16" s="28"/>
      <c r="E16" s="29"/>
      <c r="F16" s="28"/>
      <c r="G16" s="28"/>
      <c r="H16" s="28"/>
      <c r="I16" s="28"/>
      <c r="J16" s="28"/>
      <c r="K16" s="28"/>
      <c r="L16" s="28"/>
      <c r="M16" s="28"/>
      <c r="N16" s="26"/>
      <c r="O16" s="26"/>
      <c r="P16" s="11"/>
      <c r="Q16" s="30" t="s">
        <v>41</v>
      </c>
      <c r="R16" s="31">
        <f>SUM(O7,O8,O9,O13,O18)</f>
        <v>1371712</v>
      </c>
    </row>
    <row r="17" spans="1:18" ht="0.95" customHeight="1" x14ac:dyDescent="0.25">
      <c r="A17" s="10"/>
      <c r="B17" s="34"/>
      <c r="C17" s="28"/>
      <c r="D17" s="28"/>
      <c r="E17" s="29"/>
      <c r="F17" s="28"/>
      <c r="G17" s="28"/>
      <c r="H17" s="28"/>
      <c r="I17" s="28"/>
      <c r="J17" s="28"/>
      <c r="K17" s="28"/>
      <c r="L17" s="28"/>
      <c r="M17" s="28"/>
      <c r="N17" s="26"/>
      <c r="O17" s="26"/>
      <c r="P17" s="11"/>
      <c r="Q17" s="2" t="s">
        <v>34</v>
      </c>
      <c r="R17" s="31">
        <f>SUM(R14,R16)</f>
        <v>1915712</v>
      </c>
    </row>
    <row r="18" spans="1:18" ht="0.95" customHeight="1" x14ac:dyDescent="0.25">
      <c r="A18" s="10"/>
      <c r="B18" s="34"/>
      <c r="C18" s="28"/>
      <c r="D18" s="28"/>
      <c r="E18" s="29"/>
      <c r="F18" s="28"/>
      <c r="G18" s="28"/>
      <c r="H18" s="28"/>
      <c r="I18" s="28"/>
      <c r="J18" s="28"/>
      <c r="K18" s="28"/>
      <c r="L18" s="28"/>
      <c r="M18" s="28"/>
      <c r="N18" s="26"/>
      <c r="O18" s="26"/>
      <c r="P18" s="11"/>
    </row>
    <row r="19" spans="1:18" ht="15.75" x14ac:dyDescent="0.25">
      <c r="A19" s="10"/>
      <c r="B19" s="12"/>
      <c r="C19" s="34"/>
      <c r="D19" s="34"/>
      <c r="E19" s="34"/>
      <c r="F19" s="34"/>
      <c r="G19" s="13"/>
      <c r="H19" s="6"/>
      <c r="I19" s="6"/>
      <c r="J19" s="35"/>
      <c r="K19" s="6"/>
      <c r="L19" s="6"/>
      <c r="M19" s="16"/>
      <c r="N19" s="26">
        <f>SUM(N3:N18)</f>
        <v>7188538</v>
      </c>
      <c r="O19" s="36"/>
      <c r="P19" s="11"/>
    </row>
    <row r="20" spans="1:18" ht="38.25" x14ac:dyDescent="0.25">
      <c r="A20" s="37" t="s">
        <v>1</v>
      </c>
      <c r="B20" s="38"/>
      <c r="C20" s="37"/>
      <c r="D20" s="37"/>
      <c r="E20" s="37"/>
      <c r="F20" s="37"/>
      <c r="G20" s="37"/>
      <c r="H20" s="37"/>
      <c r="I20" s="39"/>
      <c r="J20" s="39"/>
      <c r="K20" s="39"/>
      <c r="L20" s="39"/>
      <c r="M20" s="39"/>
      <c r="N20" s="40" t="s">
        <v>6</v>
      </c>
      <c r="O20" s="27">
        <f>SUM(O3:O19)</f>
        <v>5750830.4000000004</v>
      </c>
      <c r="P20" s="11"/>
    </row>
  </sheetData>
  <mergeCells count="1">
    <mergeCell ref="A1:C1"/>
  </mergeCells>
  <phoneticPr fontId="3" type="noConversion"/>
  <pageMargins left="0" right="0" top="0" bottom="0" header="0" footer="0"/>
  <pageSetup paperSize="3" scale="5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6798A-C2EA-45FA-B256-5B876731BB0B}">
  <sheetPr>
    <pageSetUpPr fitToPage="1"/>
  </sheetPr>
  <dimension ref="A1:T18"/>
  <sheetViews>
    <sheetView zoomScale="130" zoomScaleNormal="130" workbookViewId="0">
      <pane xSplit="2" ySplit="1" topLeftCell="J2" activePane="bottomRight" state="frozen"/>
      <selection activeCell="B5" sqref="B5"/>
      <selection pane="topRight" activeCell="B5" sqref="B5"/>
      <selection pane="bottomLeft" activeCell="B5" sqref="B5"/>
      <selection pane="bottomRight" activeCell="N3" sqref="N3"/>
    </sheetView>
  </sheetViews>
  <sheetFormatPr defaultRowHeight="15" x14ac:dyDescent="0.25"/>
  <cols>
    <col min="1" max="1" width="20.28515625" customWidth="1"/>
    <col min="2" max="2" width="48.140625" customWidth="1"/>
    <col min="3" max="3" width="32.5703125" customWidth="1"/>
    <col min="4" max="4" width="17" style="15" customWidth="1"/>
    <col min="5" max="5" width="29.42578125" style="15" customWidth="1"/>
    <col min="6" max="8" width="17" style="15" customWidth="1"/>
    <col min="9" max="9" width="11.28515625" customWidth="1"/>
    <col min="10" max="10" width="17" style="15" customWidth="1"/>
    <col min="14" max="14" width="17.5703125" customWidth="1"/>
    <col min="15" max="15" width="20.7109375" customWidth="1"/>
    <col min="16" max="16" width="22" style="15" customWidth="1"/>
    <col min="17" max="17" width="17" style="15" customWidth="1"/>
    <col min="18" max="18" width="18" customWidth="1"/>
    <col min="19" max="19" width="18.140625" customWidth="1"/>
    <col min="20" max="20" width="16" customWidth="1"/>
  </cols>
  <sheetData>
    <row r="1" spans="1:20" ht="34.5" customHeight="1" x14ac:dyDescent="0.25">
      <c r="A1" s="3" t="s">
        <v>2</v>
      </c>
      <c r="B1" s="3" t="s">
        <v>3</v>
      </c>
      <c r="C1" s="3" t="s">
        <v>11</v>
      </c>
      <c r="D1" s="3" t="s">
        <v>14</v>
      </c>
      <c r="E1" s="3" t="s">
        <v>101</v>
      </c>
      <c r="F1" s="3" t="s">
        <v>17</v>
      </c>
      <c r="G1" s="3" t="s">
        <v>19</v>
      </c>
      <c r="H1" s="3" t="s">
        <v>12</v>
      </c>
      <c r="I1" s="3" t="s">
        <v>102</v>
      </c>
      <c r="J1" s="3" t="s">
        <v>45</v>
      </c>
      <c r="K1" s="3" t="s">
        <v>18</v>
      </c>
      <c r="L1" s="3" t="s">
        <v>22</v>
      </c>
      <c r="M1" s="3" t="s">
        <v>13</v>
      </c>
      <c r="N1" s="3" t="s">
        <v>4</v>
      </c>
      <c r="O1" s="3" t="s">
        <v>7</v>
      </c>
      <c r="P1" s="3" t="s">
        <v>42</v>
      </c>
      <c r="Q1"/>
      <c r="R1" t="s">
        <v>220</v>
      </c>
    </row>
    <row r="2" spans="1:20" ht="26.25" x14ac:dyDescent="0.25">
      <c r="A2" s="37" t="s">
        <v>1</v>
      </c>
      <c r="B2" s="38" t="s">
        <v>46</v>
      </c>
      <c r="C2" s="41"/>
      <c r="D2" s="41"/>
      <c r="E2" s="34"/>
      <c r="F2" s="37" t="s">
        <v>1</v>
      </c>
      <c r="G2" s="41"/>
      <c r="H2" s="41"/>
      <c r="I2" s="9"/>
      <c r="J2" s="41"/>
      <c r="K2" s="41"/>
      <c r="L2" s="41"/>
      <c r="M2" s="41"/>
      <c r="N2" s="37"/>
      <c r="O2" s="37"/>
      <c r="P2" s="34"/>
      <c r="Q2" t="s">
        <v>35</v>
      </c>
      <c r="R2" t="s">
        <v>36</v>
      </c>
    </row>
    <row r="3" spans="1:20" ht="66" customHeight="1" x14ac:dyDescent="0.25">
      <c r="A3" s="10" t="s">
        <v>23</v>
      </c>
      <c r="B3" s="34" t="s">
        <v>144</v>
      </c>
      <c r="C3" s="11"/>
      <c r="D3" s="11"/>
      <c r="E3" s="11"/>
      <c r="F3" s="11"/>
      <c r="G3" s="11"/>
      <c r="H3" s="11">
        <v>30</v>
      </c>
      <c r="I3" s="42">
        <v>0</v>
      </c>
      <c r="J3" s="11">
        <v>30</v>
      </c>
      <c r="K3" s="11">
        <v>30</v>
      </c>
      <c r="L3" s="35">
        <v>30</v>
      </c>
      <c r="M3" s="11">
        <f>SUM(Table16[[#This Row],[Pochop Scores]:[Hunt Scores]])</f>
        <v>120</v>
      </c>
      <c r="N3" s="45">
        <v>2449764</v>
      </c>
      <c r="O3" s="45">
        <f>0.8*Table16[[#This Row],[Total Cost]]</f>
        <v>1959811.2000000002</v>
      </c>
      <c r="P3" s="11">
        <v>1</v>
      </c>
      <c r="Q3" s="79" t="s">
        <v>37</v>
      </c>
      <c r="R3" s="72">
        <f>SUM(O3)</f>
        <v>1959811.2000000002</v>
      </c>
    </row>
    <row r="4" spans="1:20" ht="0.95" customHeight="1" x14ac:dyDescent="0.25">
      <c r="A4" s="34"/>
      <c r="B4" s="34"/>
      <c r="C4" s="11"/>
      <c r="D4" s="11"/>
      <c r="E4" s="11"/>
      <c r="F4" s="11"/>
      <c r="G4" s="11"/>
      <c r="H4" s="11"/>
      <c r="I4" s="11"/>
      <c r="J4" s="11"/>
      <c r="K4" s="11"/>
      <c r="L4" s="11"/>
      <c r="M4" s="11"/>
      <c r="N4" s="43"/>
      <c r="O4" s="43"/>
      <c r="P4" s="11"/>
      <c r="Q4" s="49"/>
      <c r="R4" s="72"/>
    </row>
    <row r="5" spans="1:20" ht="42" customHeight="1" x14ac:dyDescent="0.25">
      <c r="A5" s="34"/>
      <c r="B5" s="34"/>
      <c r="C5" s="11"/>
      <c r="D5" s="11"/>
      <c r="E5" s="11"/>
      <c r="F5" s="11"/>
      <c r="G5" s="11"/>
      <c r="H5" s="11"/>
      <c r="I5" s="11"/>
      <c r="J5" s="11"/>
      <c r="K5" s="11"/>
      <c r="L5" s="11"/>
      <c r="M5" s="11"/>
      <c r="N5" s="43"/>
      <c r="O5" s="43"/>
      <c r="P5" s="11"/>
      <c r="Q5" t="s">
        <v>224</v>
      </c>
      <c r="R5" s="95">
        <v>1000000</v>
      </c>
    </row>
    <row r="6" spans="1:20" ht="0.95" customHeight="1" x14ac:dyDescent="0.25">
      <c r="A6" s="34"/>
      <c r="B6" s="34"/>
      <c r="C6" s="11"/>
      <c r="D6" s="11"/>
      <c r="E6" s="11"/>
      <c r="F6" s="11"/>
      <c r="G6" s="11"/>
      <c r="H6" s="11"/>
      <c r="I6" s="11"/>
      <c r="J6" s="11"/>
      <c r="K6" s="11"/>
      <c r="L6" s="11"/>
      <c r="M6" s="11"/>
      <c r="N6" s="43"/>
      <c r="O6" s="43"/>
      <c r="P6" s="11"/>
      <c r="Q6"/>
      <c r="R6" s="72"/>
    </row>
    <row r="7" spans="1:20" ht="36" customHeight="1" x14ac:dyDescent="0.25">
      <c r="A7" s="34"/>
      <c r="B7" s="34"/>
      <c r="C7" s="11"/>
      <c r="D7" s="11"/>
      <c r="E7" s="11"/>
      <c r="F7" s="11"/>
      <c r="G7" s="11"/>
      <c r="H7" s="11"/>
      <c r="I7" s="11"/>
      <c r="J7" s="11"/>
      <c r="K7" s="11"/>
      <c r="L7" s="11"/>
      <c r="M7" s="11"/>
      <c r="N7" s="43"/>
      <c r="O7" s="43"/>
      <c r="P7" s="34"/>
      <c r="Q7" t="s">
        <v>223</v>
      </c>
      <c r="R7" s="78">
        <v>959811</v>
      </c>
    </row>
    <row r="8" spans="1:20" ht="0.95" customHeight="1" x14ac:dyDescent="0.25">
      <c r="A8" s="34"/>
      <c r="B8" s="34"/>
      <c r="C8" s="34"/>
      <c r="D8" s="34"/>
      <c r="E8" s="34"/>
      <c r="F8" s="34"/>
      <c r="G8" s="34"/>
      <c r="H8" s="11"/>
      <c r="I8" s="11"/>
      <c r="J8" s="11"/>
      <c r="K8" s="11"/>
      <c r="L8" s="11"/>
      <c r="M8" s="11"/>
      <c r="N8" s="43"/>
      <c r="O8" s="57"/>
      <c r="P8" s="34"/>
      <c r="Q8"/>
    </row>
    <row r="9" spans="1:20" ht="26.25" x14ac:dyDescent="0.25">
      <c r="A9" s="5" t="s">
        <v>1</v>
      </c>
      <c r="B9" s="4" t="s">
        <v>100</v>
      </c>
      <c r="C9" s="14"/>
      <c r="D9" s="14"/>
      <c r="E9" s="5" t="s">
        <v>1</v>
      </c>
      <c r="F9" s="5" t="s">
        <v>1</v>
      </c>
      <c r="G9" s="14"/>
      <c r="H9" s="14"/>
      <c r="I9" s="14"/>
      <c r="J9" s="14"/>
      <c r="K9" s="14"/>
      <c r="L9" s="14"/>
      <c r="M9" s="14"/>
      <c r="N9" s="5"/>
      <c r="O9" s="5"/>
      <c r="P9" s="1"/>
      <c r="Q9"/>
    </row>
    <row r="10" spans="1:20" ht="120" x14ac:dyDescent="0.25">
      <c r="A10" s="51" t="s">
        <v>103</v>
      </c>
      <c r="B10" s="52" t="s">
        <v>104</v>
      </c>
      <c r="C10" s="56" t="s">
        <v>130</v>
      </c>
      <c r="D10" s="56" t="s">
        <v>116</v>
      </c>
      <c r="E10" s="56" t="s">
        <v>137</v>
      </c>
      <c r="F10" s="34"/>
      <c r="G10" s="56" t="s">
        <v>123</v>
      </c>
      <c r="H10" s="11">
        <v>13</v>
      </c>
      <c r="I10" s="42">
        <v>12</v>
      </c>
      <c r="J10" s="11">
        <v>5</v>
      </c>
      <c r="K10" s="11">
        <v>15</v>
      </c>
      <c r="L10" s="11">
        <v>13</v>
      </c>
      <c r="M10" s="11">
        <f>SUM(Table16[[#This Row],[Pochop Scores]:[Hunt Scores]])</f>
        <v>58</v>
      </c>
      <c r="N10" s="58">
        <v>60000</v>
      </c>
      <c r="O10" s="45">
        <f>0.8*Table16[[#This Row],[Total Cost]]</f>
        <v>48000</v>
      </c>
      <c r="P10" s="34">
        <v>6</v>
      </c>
      <c r="Q10"/>
      <c r="R10" s="32">
        <f t="shared" ref="R10:R16" si="0">SUM(O10)</f>
        <v>48000</v>
      </c>
    </row>
    <row r="11" spans="1:20" ht="120" x14ac:dyDescent="0.25">
      <c r="A11" s="51" t="s">
        <v>20</v>
      </c>
      <c r="B11" s="52" t="s">
        <v>105</v>
      </c>
      <c r="C11" s="56" t="s">
        <v>131</v>
      </c>
      <c r="D11" s="56" t="s">
        <v>117</v>
      </c>
      <c r="E11" s="56" t="s">
        <v>138</v>
      </c>
      <c r="F11" s="34"/>
      <c r="G11" s="56" t="s">
        <v>124</v>
      </c>
      <c r="H11" s="11">
        <v>15</v>
      </c>
      <c r="I11" s="42">
        <v>14</v>
      </c>
      <c r="J11" s="11">
        <v>15</v>
      </c>
      <c r="K11" s="11">
        <v>15</v>
      </c>
      <c r="L11" s="11">
        <v>14</v>
      </c>
      <c r="M11" s="11">
        <f>SUM(Table16[[#This Row],[Pochop Scores]:[Hunt Scores]])</f>
        <v>73</v>
      </c>
      <c r="N11" s="58">
        <v>50000</v>
      </c>
      <c r="O11" s="45">
        <f>0.8*Table16[[#This Row],[Total Cost]]</f>
        <v>40000</v>
      </c>
      <c r="P11" s="34">
        <v>2</v>
      </c>
      <c r="Q11"/>
      <c r="R11" s="32">
        <f t="shared" si="0"/>
        <v>40000</v>
      </c>
    </row>
    <row r="12" spans="1:20" ht="165" x14ac:dyDescent="0.25">
      <c r="A12" s="51" t="s">
        <v>106</v>
      </c>
      <c r="B12" s="52" t="s">
        <v>107</v>
      </c>
      <c r="C12" s="56" t="s">
        <v>132</v>
      </c>
      <c r="D12" s="56" t="s">
        <v>118</v>
      </c>
      <c r="E12" s="56" t="s">
        <v>139</v>
      </c>
      <c r="F12" s="34"/>
      <c r="G12" s="56" t="s">
        <v>125</v>
      </c>
      <c r="H12" s="11">
        <v>15</v>
      </c>
      <c r="I12" s="42">
        <v>15</v>
      </c>
      <c r="J12" s="11">
        <v>10</v>
      </c>
      <c r="K12" s="11">
        <v>15</v>
      </c>
      <c r="L12" s="11">
        <v>11</v>
      </c>
      <c r="M12" s="11">
        <f>SUM(Table16[[#This Row],[Pochop Scores]:[Hunt Scores]])</f>
        <v>66</v>
      </c>
      <c r="N12" s="58">
        <v>60000</v>
      </c>
      <c r="O12" s="45">
        <f>0.8*Table16[[#This Row],[Total Cost]]</f>
        <v>48000</v>
      </c>
      <c r="P12" s="71">
        <v>4</v>
      </c>
      <c r="Q12" s="2"/>
      <c r="R12" s="32">
        <f t="shared" si="0"/>
        <v>48000</v>
      </c>
      <c r="S12" s="80" t="s">
        <v>232</v>
      </c>
      <c r="T12" s="96">
        <f>SUM(R10,R11,R12,R13,R14,R15,R16)</f>
        <v>315960</v>
      </c>
    </row>
    <row r="13" spans="1:20" ht="150" x14ac:dyDescent="0.25">
      <c r="A13" s="51" t="s">
        <v>108</v>
      </c>
      <c r="B13" s="52" t="s">
        <v>109</v>
      </c>
      <c r="C13" s="56" t="s">
        <v>133</v>
      </c>
      <c r="D13" s="56" t="s">
        <v>119</v>
      </c>
      <c r="E13" s="56" t="s">
        <v>140</v>
      </c>
      <c r="F13" s="34"/>
      <c r="G13" s="56" t="s">
        <v>126</v>
      </c>
      <c r="H13" s="11">
        <v>15</v>
      </c>
      <c r="I13" s="42">
        <v>15</v>
      </c>
      <c r="J13" s="11">
        <v>15</v>
      </c>
      <c r="K13" s="11">
        <v>15</v>
      </c>
      <c r="L13" s="11">
        <v>14</v>
      </c>
      <c r="M13" s="11">
        <f>SUM(Table16[[#This Row],[Pochop Scores]:[Hunt Scores]])</f>
        <v>74</v>
      </c>
      <c r="N13" s="58">
        <v>55000</v>
      </c>
      <c r="O13" s="45">
        <f>0.8*Table16[[#This Row],[Total Cost]]</f>
        <v>44000</v>
      </c>
      <c r="P13" s="71">
        <v>1</v>
      </c>
      <c r="Q13"/>
      <c r="R13" s="32">
        <f t="shared" si="0"/>
        <v>44000</v>
      </c>
    </row>
    <row r="14" spans="1:20" ht="195" x14ac:dyDescent="0.25">
      <c r="A14" s="51" t="s">
        <v>110</v>
      </c>
      <c r="B14" s="52" t="s">
        <v>111</v>
      </c>
      <c r="C14" s="56" t="s">
        <v>134</v>
      </c>
      <c r="D14" s="56" t="s">
        <v>120</v>
      </c>
      <c r="E14" s="56" t="s">
        <v>141</v>
      </c>
      <c r="F14" s="34"/>
      <c r="G14" s="56" t="s">
        <v>127</v>
      </c>
      <c r="H14" s="11">
        <v>15</v>
      </c>
      <c r="I14" s="42">
        <v>15</v>
      </c>
      <c r="J14" s="11">
        <v>15</v>
      </c>
      <c r="K14" s="11">
        <v>15</v>
      </c>
      <c r="L14" s="11">
        <v>11</v>
      </c>
      <c r="M14" s="11">
        <f>SUM(Table16[[#This Row],[Pochop Scores]:[Hunt Scores]])</f>
        <v>71</v>
      </c>
      <c r="N14" s="58">
        <v>50000</v>
      </c>
      <c r="O14" s="45">
        <f>0.8*Table16[[#This Row],[Total Cost]]</f>
        <v>40000</v>
      </c>
      <c r="P14" s="71">
        <v>3</v>
      </c>
      <c r="Q14" s="1"/>
      <c r="R14" s="32">
        <f t="shared" si="0"/>
        <v>40000</v>
      </c>
    </row>
    <row r="15" spans="1:20" ht="165" x14ac:dyDescent="0.25">
      <c r="A15" s="51" t="s">
        <v>112</v>
      </c>
      <c r="B15" s="52" t="s">
        <v>113</v>
      </c>
      <c r="C15" s="56" t="s">
        <v>135</v>
      </c>
      <c r="D15" s="56" t="s">
        <v>121</v>
      </c>
      <c r="E15" s="56" t="s">
        <v>142</v>
      </c>
      <c r="F15" s="34"/>
      <c r="G15" s="56" t="s">
        <v>128</v>
      </c>
      <c r="H15" s="11">
        <v>15</v>
      </c>
      <c r="I15" s="42">
        <v>15</v>
      </c>
      <c r="J15" s="11">
        <v>15</v>
      </c>
      <c r="K15" s="11">
        <v>15</v>
      </c>
      <c r="L15" s="11">
        <v>13</v>
      </c>
      <c r="M15" s="11">
        <f>SUM(Table16[[#This Row],[Pochop Scores]:[Hunt Scores]])</f>
        <v>73</v>
      </c>
      <c r="N15" s="58">
        <v>60000</v>
      </c>
      <c r="O15" s="45">
        <f>0.8*Table16[[#This Row],[Total Cost]]</f>
        <v>48000</v>
      </c>
      <c r="P15" s="71">
        <v>2</v>
      </c>
      <c r="Q15" s="17"/>
      <c r="R15" s="32">
        <f t="shared" si="0"/>
        <v>48000</v>
      </c>
    </row>
    <row r="16" spans="1:20" ht="195" x14ac:dyDescent="0.25">
      <c r="A16" s="51" t="s">
        <v>114</v>
      </c>
      <c r="B16" s="52" t="s">
        <v>115</v>
      </c>
      <c r="C16" s="56" t="s">
        <v>136</v>
      </c>
      <c r="D16" s="56" t="s">
        <v>122</v>
      </c>
      <c r="E16" s="56" t="s">
        <v>143</v>
      </c>
      <c r="F16" s="34"/>
      <c r="G16" s="56" t="s">
        <v>129</v>
      </c>
      <c r="H16" s="11">
        <v>13</v>
      </c>
      <c r="I16" s="42">
        <v>12</v>
      </c>
      <c r="J16" s="11">
        <v>10</v>
      </c>
      <c r="K16" s="11">
        <v>15</v>
      </c>
      <c r="L16" s="11">
        <v>13</v>
      </c>
      <c r="M16" s="11">
        <f>SUM(Table16[[#This Row],[Pochop Scores]:[Hunt Scores]])</f>
        <v>63</v>
      </c>
      <c r="N16" s="58">
        <v>59950</v>
      </c>
      <c r="O16" s="45">
        <f>0.8*Table16[[#This Row],[Total Cost]]</f>
        <v>47960</v>
      </c>
      <c r="P16" s="71">
        <v>5</v>
      </c>
      <c r="Q16" s="9" t="s">
        <v>233</v>
      </c>
      <c r="R16" s="32">
        <f t="shared" si="0"/>
        <v>47960</v>
      </c>
    </row>
    <row r="17" spans="1:18" x14ac:dyDescent="0.25">
      <c r="A17" s="10"/>
      <c r="B17" s="34"/>
      <c r="C17" s="11"/>
      <c r="D17" s="11"/>
      <c r="E17" s="11"/>
      <c r="F17" s="34"/>
      <c r="G17" s="11"/>
      <c r="H17" s="11"/>
      <c r="I17" s="42"/>
      <c r="J17" s="11"/>
      <c r="K17" s="11"/>
      <c r="L17" s="11"/>
      <c r="M17" s="11"/>
      <c r="N17" s="45">
        <f>SUBTOTAL(109,N10:N16)</f>
        <v>394950</v>
      </c>
      <c r="O17" s="45"/>
      <c r="P17" s="34"/>
    </row>
    <row r="18" spans="1:18" ht="30" x14ac:dyDescent="0.25">
      <c r="A18" s="5"/>
      <c r="B18" s="5"/>
      <c r="C18" s="5" t="s">
        <v>1</v>
      </c>
      <c r="D18" s="14"/>
      <c r="E18" s="14"/>
      <c r="F18" s="14"/>
      <c r="G18" s="14"/>
      <c r="H18" s="14"/>
      <c r="I18" s="14"/>
      <c r="J18" s="14"/>
      <c r="K18" s="2"/>
      <c r="L18" s="2"/>
      <c r="M18" s="9"/>
      <c r="N18" s="17" t="s">
        <v>8</v>
      </c>
      <c r="O18" s="44">
        <f>SUM(O10:O16)</f>
        <v>315960</v>
      </c>
      <c r="Q18" s="9" t="s">
        <v>38</v>
      </c>
      <c r="R18" s="32">
        <f>SUM(R3,T12)</f>
        <v>2275771.2000000002</v>
      </c>
    </row>
  </sheetData>
  <phoneticPr fontId="3" type="noConversion"/>
  <pageMargins left="0" right="0" top="0" bottom="0" header="0" footer="0"/>
  <pageSetup paperSize="3" scale="47"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CC355-F32F-451F-AE54-0F3D9DDE276A}">
  <sheetPr>
    <pageSetUpPr fitToPage="1"/>
  </sheetPr>
  <dimension ref="A1:Y17"/>
  <sheetViews>
    <sheetView zoomScale="110" zoomScaleNormal="110" workbookViewId="0">
      <pane xSplit="2" ySplit="1" topLeftCell="M4" activePane="bottomRight" state="frozen"/>
      <selection activeCell="B5" sqref="B5"/>
      <selection pane="topRight" activeCell="B5" sqref="B5"/>
      <selection pane="bottomLeft" activeCell="B5" sqref="B5"/>
      <selection pane="bottomRight" activeCell="T15" sqref="T15:U15"/>
    </sheetView>
  </sheetViews>
  <sheetFormatPr defaultColWidth="9.140625" defaultRowHeight="15" x14ac:dyDescent="0.25"/>
  <cols>
    <col min="1" max="1" width="23" style="2" customWidth="1"/>
    <col min="2" max="2" width="54.42578125" style="2" customWidth="1"/>
    <col min="3" max="6" width="34.140625" style="2" customWidth="1"/>
    <col min="7" max="7" width="31.28515625" style="2" customWidth="1"/>
    <col min="8" max="8" width="30.85546875" style="2" hidden="1" customWidth="1"/>
    <col min="9" max="10" width="14.42578125" style="2" hidden="1" customWidth="1"/>
    <col min="11" max="11" width="19.85546875" style="2" hidden="1" customWidth="1"/>
    <col min="12" max="12" width="14.42578125" style="2" hidden="1" customWidth="1"/>
    <col min="13" max="18" width="14.42578125" style="2" customWidth="1"/>
    <col min="19" max="19" width="14.42578125" style="2" hidden="1" customWidth="1"/>
    <col min="20" max="21" width="14.42578125" style="2" customWidth="1"/>
    <col min="22" max="22" width="21.42578125" style="2" customWidth="1"/>
    <col min="23" max="23" width="16.5703125" style="2" customWidth="1"/>
    <col min="24" max="24" width="17.7109375" style="2" customWidth="1"/>
    <col min="25" max="25" width="15.5703125" style="2" customWidth="1"/>
    <col min="26" max="16384" width="9.140625" style="2"/>
  </cols>
  <sheetData>
    <row r="1" spans="1:25" ht="27" customHeight="1" x14ac:dyDescent="0.25">
      <c r="A1" s="3" t="s">
        <v>2</v>
      </c>
      <c r="B1" s="3" t="s">
        <v>3</v>
      </c>
      <c r="C1" s="3" t="s">
        <v>11</v>
      </c>
      <c r="D1" s="3" t="s">
        <v>14</v>
      </c>
      <c r="E1" s="3" t="s">
        <v>101</v>
      </c>
      <c r="F1" s="3" t="s">
        <v>17</v>
      </c>
      <c r="G1" s="3" t="s">
        <v>19</v>
      </c>
      <c r="H1" s="3" t="s">
        <v>12</v>
      </c>
      <c r="I1" s="3" t="s">
        <v>15</v>
      </c>
      <c r="J1" s="3" t="s">
        <v>16</v>
      </c>
      <c r="K1" s="3" t="s">
        <v>18</v>
      </c>
      <c r="L1" s="3" t="s">
        <v>22</v>
      </c>
      <c r="M1" s="3" t="s">
        <v>170</v>
      </c>
      <c r="N1" s="3" t="s">
        <v>171</v>
      </c>
      <c r="O1" s="3" t="s">
        <v>45</v>
      </c>
      <c r="P1" s="3" t="s">
        <v>172</v>
      </c>
      <c r="Q1" s="3" t="s">
        <v>173</v>
      </c>
      <c r="R1" s="3" t="s">
        <v>13</v>
      </c>
      <c r="S1" s="3" t="s">
        <v>174</v>
      </c>
      <c r="T1" s="3" t="s">
        <v>4</v>
      </c>
      <c r="U1" s="3" t="s">
        <v>9</v>
      </c>
      <c r="V1" s="3" t="s">
        <v>42</v>
      </c>
    </row>
    <row r="2" spans="1:25" ht="32.25" thickBot="1" x14ac:dyDescent="0.3">
      <c r="A2" s="10"/>
      <c r="B2" s="50" t="s">
        <v>47</v>
      </c>
      <c r="C2" s="34"/>
      <c r="D2" s="34"/>
      <c r="E2" s="11"/>
      <c r="F2" s="34"/>
      <c r="G2" s="34"/>
      <c r="H2" s="11"/>
      <c r="I2" s="11"/>
      <c r="J2" s="11"/>
      <c r="K2" s="11"/>
      <c r="L2" s="11"/>
      <c r="M2" s="11"/>
      <c r="N2" s="11"/>
      <c r="O2" s="11"/>
      <c r="P2" s="11"/>
      <c r="Q2" s="11"/>
      <c r="R2" s="11"/>
      <c r="S2" s="11"/>
      <c r="T2" s="46"/>
      <c r="U2" s="46"/>
      <c r="V2" s="34"/>
    </row>
    <row r="3" spans="1:25" ht="75.75" thickBot="1" x14ac:dyDescent="0.3">
      <c r="A3" s="51" t="s">
        <v>145</v>
      </c>
      <c r="B3" s="52" t="s">
        <v>146</v>
      </c>
      <c r="C3" s="11" t="s">
        <v>175</v>
      </c>
      <c r="D3" s="11" t="s">
        <v>187</v>
      </c>
      <c r="E3" s="11" t="s">
        <v>192</v>
      </c>
      <c r="F3" s="34"/>
      <c r="G3" s="11" t="s">
        <v>205</v>
      </c>
      <c r="H3" s="11"/>
      <c r="I3" s="11"/>
      <c r="J3" s="11"/>
      <c r="K3" s="11"/>
      <c r="L3" s="11"/>
      <c r="M3" s="61">
        <v>58</v>
      </c>
      <c r="N3" s="61">
        <v>55</v>
      </c>
      <c r="O3" s="11">
        <v>60</v>
      </c>
      <c r="P3" s="61">
        <v>60</v>
      </c>
      <c r="Q3" s="11">
        <v>57.5</v>
      </c>
      <c r="R3" s="11">
        <f t="shared" ref="R3:R15" si="0">SUBTOTAL(109,M3:Q3)</f>
        <v>290.5</v>
      </c>
      <c r="S3" s="11"/>
      <c r="T3" s="46">
        <v>226585</v>
      </c>
      <c r="U3" s="46">
        <v>75000</v>
      </c>
      <c r="V3" s="71">
        <v>1</v>
      </c>
    </row>
    <row r="4" spans="1:25" ht="60.75" thickBot="1" x14ac:dyDescent="0.3">
      <c r="A4" s="51" t="s">
        <v>147</v>
      </c>
      <c r="B4" s="52" t="s">
        <v>148</v>
      </c>
      <c r="C4" s="11" t="s">
        <v>176</v>
      </c>
      <c r="D4" s="11" t="s">
        <v>188</v>
      </c>
      <c r="E4" s="11" t="s">
        <v>193</v>
      </c>
      <c r="F4" s="34"/>
      <c r="G4" s="11" t="s">
        <v>206</v>
      </c>
      <c r="H4" s="11"/>
      <c r="I4" s="11"/>
      <c r="J4" s="11"/>
      <c r="K4" s="11"/>
      <c r="L4" s="11"/>
      <c r="M4" s="61">
        <v>47</v>
      </c>
      <c r="N4" s="61">
        <v>51</v>
      </c>
      <c r="O4" s="11">
        <v>31</v>
      </c>
      <c r="P4" s="61">
        <v>60</v>
      </c>
      <c r="Q4" s="11">
        <v>46.5</v>
      </c>
      <c r="R4" s="11">
        <f t="shared" si="0"/>
        <v>235.5</v>
      </c>
      <c r="S4" s="11"/>
      <c r="T4" s="46">
        <v>113900</v>
      </c>
      <c r="U4" s="46">
        <f t="shared" ref="U4:U7" si="1">SUM(T4*0.5)</f>
        <v>56950</v>
      </c>
      <c r="V4" s="34">
        <v>8</v>
      </c>
    </row>
    <row r="5" spans="1:25" ht="105.75" thickBot="1" x14ac:dyDescent="0.3">
      <c r="A5" s="59" t="s">
        <v>149</v>
      </c>
      <c r="B5" s="52" t="s">
        <v>150</v>
      </c>
      <c r="C5" s="11" t="s">
        <v>177</v>
      </c>
      <c r="D5" s="11"/>
      <c r="E5" s="11" t="s">
        <v>194</v>
      </c>
      <c r="F5" s="34"/>
      <c r="G5" s="11" t="s">
        <v>207</v>
      </c>
      <c r="H5" s="11"/>
      <c r="I5" s="11"/>
      <c r="J5" s="11"/>
      <c r="K5" s="11"/>
      <c r="L5" s="11"/>
      <c r="M5" s="61">
        <v>40</v>
      </c>
      <c r="N5" s="61">
        <v>55</v>
      </c>
      <c r="O5" s="11">
        <v>45</v>
      </c>
      <c r="P5" s="61">
        <v>60</v>
      </c>
      <c r="Q5" s="11">
        <v>50.5</v>
      </c>
      <c r="R5" s="11">
        <f t="shared" si="0"/>
        <v>250.5</v>
      </c>
      <c r="S5" s="11"/>
      <c r="T5" s="46">
        <v>13150</v>
      </c>
      <c r="U5" s="46">
        <f t="shared" si="1"/>
        <v>6575</v>
      </c>
      <c r="V5" s="73">
        <v>6</v>
      </c>
      <c r="X5" s="2" t="s">
        <v>35</v>
      </c>
      <c r="Y5" s="2" t="s">
        <v>40</v>
      </c>
    </row>
    <row r="6" spans="1:25" ht="60.75" thickBot="1" x14ac:dyDescent="0.3">
      <c r="A6" s="59" t="s">
        <v>151</v>
      </c>
      <c r="B6" s="52" t="s">
        <v>152</v>
      </c>
      <c r="C6" s="11" t="s">
        <v>178</v>
      </c>
      <c r="D6" s="11"/>
      <c r="E6" s="11" t="s">
        <v>195</v>
      </c>
      <c r="F6" s="34"/>
      <c r="G6" s="11" t="s">
        <v>208</v>
      </c>
      <c r="H6" s="11"/>
      <c r="I6" s="11"/>
      <c r="J6" s="11"/>
      <c r="K6" s="11"/>
      <c r="L6" s="11"/>
      <c r="M6" s="61">
        <v>51</v>
      </c>
      <c r="N6" s="61">
        <v>49</v>
      </c>
      <c r="O6" s="11">
        <v>40</v>
      </c>
      <c r="P6" s="61">
        <v>60</v>
      </c>
      <c r="Q6" s="11">
        <v>50</v>
      </c>
      <c r="R6" s="11">
        <f t="shared" si="0"/>
        <v>250</v>
      </c>
      <c r="S6" s="11"/>
      <c r="T6" s="46">
        <v>70000</v>
      </c>
      <c r="U6" s="46">
        <f t="shared" si="1"/>
        <v>35000</v>
      </c>
      <c r="V6" s="71">
        <v>5</v>
      </c>
      <c r="X6" s="80" t="s">
        <v>39</v>
      </c>
      <c r="Y6" s="31">
        <f>SUM(U3,U5,U6,U7,U9,U10,U11,U15)</f>
        <v>318276.5</v>
      </c>
    </row>
    <row r="7" spans="1:25" ht="75.75" thickBot="1" x14ac:dyDescent="0.3">
      <c r="A7" s="59" t="s">
        <v>153</v>
      </c>
      <c r="B7" s="52" t="s">
        <v>154</v>
      </c>
      <c r="C7" s="11" t="s">
        <v>179</v>
      </c>
      <c r="D7" s="11"/>
      <c r="E7" s="11" t="s">
        <v>196</v>
      </c>
      <c r="F7" s="34"/>
      <c r="G7" s="11" t="s">
        <v>209</v>
      </c>
      <c r="H7" s="11"/>
      <c r="I7" s="11"/>
      <c r="J7" s="11"/>
      <c r="K7" s="11"/>
      <c r="L7" s="11"/>
      <c r="M7" s="61">
        <v>55</v>
      </c>
      <c r="N7" s="61">
        <v>60</v>
      </c>
      <c r="O7" s="11">
        <v>46</v>
      </c>
      <c r="P7" s="61">
        <v>60</v>
      </c>
      <c r="Q7" s="11">
        <v>56.5</v>
      </c>
      <c r="R7" s="11">
        <f t="shared" si="0"/>
        <v>277.5</v>
      </c>
      <c r="S7" s="11"/>
      <c r="T7" s="46">
        <v>35110</v>
      </c>
      <c r="U7" s="46">
        <f t="shared" si="1"/>
        <v>17555</v>
      </c>
      <c r="V7" s="71">
        <v>3</v>
      </c>
      <c r="X7" s="2" t="s">
        <v>229</v>
      </c>
      <c r="Y7" s="31">
        <f>SUM(T3,T5,T6,T7,T9,T10,T11,T15)</f>
        <v>713138</v>
      </c>
    </row>
    <row r="8" spans="1:25" ht="60.75" thickBot="1" x14ac:dyDescent="0.3">
      <c r="A8" s="59" t="s">
        <v>155</v>
      </c>
      <c r="B8" s="52" t="s">
        <v>156</v>
      </c>
      <c r="C8" s="11"/>
      <c r="D8" s="11"/>
      <c r="E8" s="11" t="s">
        <v>197</v>
      </c>
      <c r="F8" s="34"/>
      <c r="G8" s="11" t="s">
        <v>210</v>
      </c>
      <c r="H8" s="11"/>
      <c r="I8" s="11"/>
      <c r="J8" s="11"/>
      <c r="K8" s="11"/>
      <c r="L8" s="11"/>
      <c r="M8" s="61">
        <v>51</v>
      </c>
      <c r="N8" s="61">
        <v>47</v>
      </c>
      <c r="O8" s="11">
        <v>34</v>
      </c>
      <c r="P8" s="61">
        <v>60</v>
      </c>
      <c r="Q8" s="11">
        <v>53</v>
      </c>
      <c r="R8" s="11">
        <f t="shared" si="0"/>
        <v>245</v>
      </c>
      <c r="S8" s="11"/>
      <c r="T8" s="46">
        <v>173000</v>
      </c>
      <c r="U8" s="46">
        <v>75000</v>
      </c>
      <c r="V8" s="34">
        <v>7</v>
      </c>
    </row>
    <row r="9" spans="1:25" ht="75.75" thickBot="1" x14ac:dyDescent="0.3">
      <c r="A9" s="60" t="s">
        <v>157</v>
      </c>
      <c r="B9" s="52" t="s">
        <v>158</v>
      </c>
      <c r="C9" s="11" t="s">
        <v>180</v>
      </c>
      <c r="D9" s="11"/>
      <c r="E9" s="11" t="s">
        <v>198</v>
      </c>
      <c r="F9" s="34"/>
      <c r="G9" s="11" t="s">
        <v>211</v>
      </c>
      <c r="H9" s="11"/>
      <c r="I9" s="11"/>
      <c r="J9" s="11"/>
      <c r="K9" s="11"/>
      <c r="L9" s="11"/>
      <c r="M9" s="61">
        <v>57</v>
      </c>
      <c r="N9" s="61">
        <v>60</v>
      </c>
      <c r="O9" s="11">
        <v>57</v>
      </c>
      <c r="P9" s="61">
        <v>60</v>
      </c>
      <c r="Q9" s="11">
        <v>56</v>
      </c>
      <c r="R9" s="11">
        <f t="shared" si="0"/>
        <v>290</v>
      </c>
      <c r="S9" s="11"/>
      <c r="T9" s="46">
        <v>150000</v>
      </c>
      <c r="U9" s="46">
        <f t="shared" ref="U9:U15" si="2">SUM(T9*0.5)</f>
        <v>75000</v>
      </c>
      <c r="V9" s="71">
        <v>1</v>
      </c>
    </row>
    <row r="10" spans="1:25" ht="45.75" thickBot="1" x14ac:dyDescent="0.3">
      <c r="A10" s="59" t="s">
        <v>159</v>
      </c>
      <c r="B10" s="52" t="s">
        <v>160</v>
      </c>
      <c r="C10" s="11" t="s">
        <v>181</v>
      </c>
      <c r="D10" s="11"/>
      <c r="E10" s="11" t="s">
        <v>199</v>
      </c>
      <c r="F10" s="34"/>
      <c r="G10" s="11" t="s">
        <v>212</v>
      </c>
      <c r="H10" s="34"/>
      <c r="I10" s="34"/>
      <c r="J10" s="34"/>
      <c r="K10" s="34"/>
      <c r="L10" s="34"/>
      <c r="M10" s="61">
        <v>58</v>
      </c>
      <c r="N10" s="61">
        <v>60</v>
      </c>
      <c r="O10" s="11">
        <v>49</v>
      </c>
      <c r="P10" s="61">
        <v>60</v>
      </c>
      <c r="Q10" s="11">
        <v>52</v>
      </c>
      <c r="R10" s="11">
        <f t="shared" si="0"/>
        <v>279</v>
      </c>
      <c r="S10" s="34" t="e">
        <f>SUM(#REF!)</f>
        <v>#REF!</v>
      </c>
      <c r="T10" s="46">
        <v>35000</v>
      </c>
      <c r="U10" s="46">
        <f t="shared" si="2"/>
        <v>17500</v>
      </c>
      <c r="V10" s="71">
        <v>2</v>
      </c>
    </row>
    <row r="11" spans="1:25" ht="60.75" thickBot="1" x14ac:dyDescent="0.3">
      <c r="A11" s="51" t="s">
        <v>161</v>
      </c>
      <c r="B11" s="52" t="s">
        <v>162</v>
      </c>
      <c r="C11" s="11" t="s">
        <v>182</v>
      </c>
      <c r="D11" s="1" t="s">
        <v>189</v>
      </c>
      <c r="E11" s="11" t="s">
        <v>200</v>
      </c>
      <c r="F11" s="34"/>
      <c r="G11" s="11" t="s">
        <v>213</v>
      </c>
      <c r="H11" s="34"/>
      <c r="I11" s="34"/>
      <c r="J11" s="34"/>
      <c r="K11" s="34"/>
      <c r="L11" s="34"/>
      <c r="M11" s="61">
        <v>52</v>
      </c>
      <c r="N11" s="61">
        <v>60</v>
      </c>
      <c r="O11" s="11">
        <v>52</v>
      </c>
      <c r="P11" s="61">
        <v>60</v>
      </c>
      <c r="Q11" s="11">
        <v>54.5</v>
      </c>
      <c r="R11" s="11">
        <f t="shared" si="0"/>
        <v>278.5</v>
      </c>
      <c r="S11" s="34" t="e">
        <f>SUM(#REF!)</f>
        <v>#REF!</v>
      </c>
      <c r="T11" s="46">
        <v>33293</v>
      </c>
      <c r="U11" s="46">
        <f t="shared" si="2"/>
        <v>16646.5</v>
      </c>
      <c r="V11" s="71">
        <v>2</v>
      </c>
    </row>
    <row r="12" spans="1:25" ht="27" customHeight="1" thickBot="1" x14ac:dyDescent="0.3">
      <c r="A12" s="51" t="s">
        <v>163</v>
      </c>
      <c r="B12" s="52" t="s">
        <v>164</v>
      </c>
      <c r="C12" s="11" t="s">
        <v>183</v>
      </c>
      <c r="D12" s="1" t="s">
        <v>190</v>
      </c>
      <c r="E12" s="11" t="s">
        <v>201</v>
      </c>
      <c r="F12" s="34"/>
      <c r="G12" s="11" t="s">
        <v>214</v>
      </c>
      <c r="H12" s="37"/>
      <c r="I12" s="37"/>
      <c r="J12" s="37"/>
      <c r="K12" s="37"/>
      <c r="L12" s="37"/>
      <c r="M12" s="61">
        <v>39</v>
      </c>
      <c r="N12" s="61">
        <v>36</v>
      </c>
      <c r="O12" s="11">
        <v>41</v>
      </c>
      <c r="P12" s="61">
        <v>60</v>
      </c>
      <c r="Q12" s="11">
        <v>51.5</v>
      </c>
      <c r="R12" s="11">
        <f t="shared" si="0"/>
        <v>227.5</v>
      </c>
      <c r="S12" s="37" t="e">
        <f>SUM(#REF!)</f>
        <v>#REF!</v>
      </c>
      <c r="T12" s="46">
        <v>150000</v>
      </c>
      <c r="U12" s="46">
        <f t="shared" si="2"/>
        <v>75000</v>
      </c>
      <c r="V12" s="34">
        <v>9</v>
      </c>
    </row>
    <row r="13" spans="1:25" ht="30.75" thickBot="1" x14ac:dyDescent="0.3">
      <c r="A13" s="51" t="s">
        <v>24</v>
      </c>
      <c r="B13" s="52" t="s">
        <v>165</v>
      </c>
      <c r="C13" s="11" t="s">
        <v>184</v>
      </c>
      <c r="D13" s="1" t="s">
        <v>191</v>
      </c>
      <c r="E13" s="11" t="s">
        <v>202</v>
      </c>
      <c r="F13" s="34"/>
      <c r="G13" s="11" t="s">
        <v>215</v>
      </c>
      <c r="H13" s="52"/>
      <c r="I13" s="52"/>
      <c r="J13" s="52"/>
      <c r="K13" s="52"/>
      <c r="L13" s="52"/>
      <c r="M13" s="61">
        <v>42</v>
      </c>
      <c r="N13" s="61">
        <v>60</v>
      </c>
      <c r="O13" s="11">
        <v>44</v>
      </c>
      <c r="P13" s="61">
        <v>60</v>
      </c>
      <c r="Q13" s="11">
        <v>48.5</v>
      </c>
      <c r="R13" s="11">
        <f t="shared" si="0"/>
        <v>254.5</v>
      </c>
      <c r="S13" s="52" t="e">
        <f>SUM(#REF!)</f>
        <v>#REF!</v>
      </c>
      <c r="T13" s="46">
        <v>169000</v>
      </c>
      <c r="U13" s="46">
        <v>75000</v>
      </c>
      <c r="V13" s="34">
        <v>4</v>
      </c>
    </row>
    <row r="14" spans="1:25" ht="45.75" thickBot="1" x14ac:dyDescent="0.3">
      <c r="A14" s="51" t="s">
        <v>166</v>
      </c>
      <c r="B14" s="52" t="s">
        <v>167</v>
      </c>
      <c r="C14" s="11" t="s">
        <v>185</v>
      </c>
      <c r="D14" s="34"/>
      <c r="E14" s="11" t="s">
        <v>203</v>
      </c>
      <c r="F14" s="34"/>
      <c r="G14" s="11" t="s">
        <v>216</v>
      </c>
      <c r="H14" s="52"/>
      <c r="I14" s="52"/>
      <c r="J14" s="52"/>
      <c r="K14" s="52"/>
      <c r="L14" s="52"/>
      <c r="M14" s="61">
        <v>53</v>
      </c>
      <c r="N14" s="61">
        <v>40</v>
      </c>
      <c r="O14" s="11">
        <v>41</v>
      </c>
      <c r="P14" s="61">
        <v>60</v>
      </c>
      <c r="Q14" s="11">
        <v>54</v>
      </c>
      <c r="R14" s="11">
        <f t="shared" si="0"/>
        <v>248</v>
      </c>
      <c r="S14" s="52" t="e">
        <f>SUM(#REF!)</f>
        <v>#REF!</v>
      </c>
      <c r="T14" s="46">
        <v>120000</v>
      </c>
      <c r="U14" s="46">
        <f t="shared" si="2"/>
        <v>60000</v>
      </c>
      <c r="V14" s="34">
        <v>6</v>
      </c>
    </row>
    <row r="15" spans="1:25" ht="60" x14ac:dyDescent="0.25">
      <c r="A15" s="51" t="s">
        <v>168</v>
      </c>
      <c r="B15" s="52" t="s">
        <v>169</v>
      </c>
      <c r="C15" s="11" t="s">
        <v>186</v>
      </c>
      <c r="D15" s="34"/>
      <c r="E15" s="11" t="s">
        <v>204</v>
      </c>
      <c r="F15" s="34"/>
      <c r="G15" s="11" t="s">
        <v>217</v>
      </c>
      <c r="H15" s="52"/>
      <c r="I15" s="52"/>
      <c r="J15" s="52"/>
      <c r="K15" s="52"/>
      <c r="L15" s="52"/>
      <c r="M15" s="61">
        <v>58</v>
      </c>
      <c r="N15" s="61">
        <v>46</v>
      </c>
      <c r="O15" s="11">
        <v>60</v>
      </c>
      <c r="P15" s="61">
        <v>60</v>
      </c>
      <c r="Q15" s="11">
        <v>55</v>
      </c>
      <c r="R15" s="11">
        <f t="shared" si="0"/>
        <v>279</v>
      </c>
      <c r="S15" s="52" t="e">
        <f>SUM(#REF!)</f>
        <v>#REF!</v>
      </c>
      <c r="T15" s="46">
        <v>150000</v>
      </c>
      <c r="U15" s="46">
        <f t="shared" si="2"/>
        <v>75000</v>
      </c>
      <c r="V15" s="71">
        <v>2</v>
      </c>
    </row>
    <row r="16" spans="1:25" x14ac:dyDescent="0.25">
      <c r="A16" s="63"/>
      <c r="B16" s="64"/>
      <c r="C16" s="64"/>
      <c r="D16" s="64"/>
      <c r="E16" s="64"/>
      <c r="F16" s="64"/>
      <c r="G16" s="64"/>
      <c r="H16" s="65"/>
      <c r="I16" s="65"/>
      <c r="J16" s="65"/>
      <c r="K16" s="65"/>
      <c r="L16" s="65"/>
      <c r="M16" s="65"/>
      <c r="N16" s="65"/>
      <c r="O16" s="65"/>
      <c r="P16" s="65"/>
      <c r="Q16" s="65"/>
      <c r="R16" s="65"/>
      <c r="S16" s="65"/>
      <c r="T16" s="66">
        <f>SUBTOTAL(109,Table13[Total Cost])</f>
        <v>1439038</v>
      </c>
      <c r="U16" s="64"/>
      <c r="V16" s="64"/>
    </row>
    <row r="17" spans="20:21" ht="45" x14ac:dyDescent="0.25">
      <c r="T17" s="47" t="s">
        <v>10</v>
      </c>
      <c r="U17" s="48">
        <f>SUM(U3:U15)</f>
        <v>660226.5</v>
      </c>
    </row>
  </sheetData>
  <phoneticPr fontId="3" type="noConversion"/>
  <pageMargins left="0" right="0" top="0" bottom="0" header="0" footer="0"/>
  <pageSetup paperSize="3" scale="63"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2C020-43F0-4823-B09B-D47AFAC59D6B}">
  <sheetPr>
    <pageSetUpPr fitToPage="1"/>
  </sheetPr>
  <dimension ref="B1:M25"/>
  <sheetViews>
    <sheetView tabSelected="1" topLeftCell="A2" zoomScale="140" zoomScaleNormal="140" workbookViewId="0">
      <selection activeCell="M5" sqref="M5"/>
    </sheetView>
  </sheetViews>
  <sheetFormatPr defaultRowHeight="15" x14ac:dyDescent="0.25"/>
  <cols>
    <col min="2" max="2" width="33.42578125" customWidth="1"/>
    <col min="3" max="3" width="12.140625" style="15" bestFit="1" customWidth="1"/>
    <col min="5" max="5" width="18.140625" customWidth="1"/>
    <col min="6" max="6" width="15" bestFit="1" customWidth="1"/>
    <col min="10" max="10" width="13.7109375" customWidth="1"/>
    <col min="11" max="11" width="11" bestFit="1" customWidth="1"/>
    <col min="13" max="13" width="11" bestFit="1" customWidth="1"/>
  </cols>
  <sheetData>
    <row r="1" spans="2:13" ht="15.75" thickBot="1" x14ac:dyDescent="0.3"/>
    <row r="2" spans="2:13" ht="31.5" thickTop="1" thickBot="1" x14ac:dyDescent="0.3">
      <c r="B2" s="84" t="s">
        <v>234</v>
      </c>
      <c r="C2" s="85"/>
      <c r="D2" s="86"/>
      <c r="E2" s="86"/>
      <c r="F2" s="87"/>
    </row>
    <row r="3" spans="2:13" ht="15.75" thickTop="1" x14ac:dyDescent="0.25">
      <c r="B3" s="18"/>
      <c r="F3" s="19"/>
      <c r="I3" t="s">
        <v>241</v>
      </c>
      <c r="J3" t="s">
        <v>222</v>
      </c>
      <c r="K3" s="77">
        <f>SUM(C4,C7,C8)</f>
        <v>4598527</v>
      </c>
    </row>
    <row r="4" spans="2:13" x14ac:dyDescent="0.25">
      <c r="B4" s="18" t="s">
        <v>0</v>
      </c>
      <c r="C4" s="92">
        <v>315960</v>
      </c>
      <c r="F4" s="19"/>
      <c r="J4" s="72"/>
      <c r="M4" s="97">
        <f>SUM(K3,K7, K5)</f>
        <v>7189108</v>
      </c>
    </row>
    <row r="5" spans="2:13" x14ac:dyDescent="0.25">
      <c r="B5" s="18" t="s">
        <v>226</v>
      </c>
      <c r="C5" s="88">
        <v>1000000</v>
      </c>
      <c r="F5" s="19"/>
      <c r="I5" t="s">
        <v>241</v>
      </c>
      <c r="J5" s="72" t="s">
        <v>221</v>
      </c>
      <c r="K5" s="95">
        <f>SUM(C5:C6)</f>
        <v>2272304</v>
      </c>
    </row>
    <row r="6" spans="2:13" x14ac:dyDescent="0.25">
      <c r="B6" s="18" t="s">
        <v>227</v>
      </c>
      <c r="C6" s="88">
        <v>1272304</v>
      </c>
      <c r="F6" s="19"/>
      <c r="J6" s="72"/>
    </row>
    <row r="7" spans="2:13" x14ac:dyDescent="0.25">
      <c r="B7" s="18" t="s">
        <v>225</v>
      </c>
      <c r="C7" s="92">
        <v>959811</v>
      </c>
      <c r="F7" s="19"/>
      <c r="J7" s="72" t="s">
        <v>231</v>
      </c>
      <c r="K7" s="94">
        <f>SUM(C12)</f>
        <v>318277</v>
      </c>
    </row>
    <row r="8" spans="2:13" x14ac:dyDescent="0.25">
      <c r="B8" s="18" t="s">
        <v>228</v>
      </c>
      <c r="C8" s="92">
        <v>3322756</v>
      </c>
      <c r="F8" s="19"/>
    </row>
    <row r="9" spans="2:13" x14ac:dyDescent="0.25">
      <c r="B9" s="18"/>
      <c r="C9" s="68"/>
      <c r="F9" s="19"/>
    </row>
    <row r="10" spans="2:13" ht="30.75" thickBot="1" x14ac:dyDescent="0.3">
      <c r="B10" s="20" t="s">
        <v>238</v>
      </c>
      <c r="C10" s="69">
        <f>SUM(C4:C9)</f>
        <v>6870831</v>
      </c>
      <c r="D10" s="21"/>
      <c r="E10" s="22" t="s">
        <v>239</v>
      </c>
      <c r="F10" s="81">
        <f>SUM(C10*1.25)</f>
        <v>8588538.75</v>
      </c>
      <c r="M10" s="72"/>
    </row>
    <row r="11" spans="2:13" ht="16.5" thickTop="1" thickBot="1" x14ac:dyDescent="0.3">
      <c r="B11" s="2"/>
      <c r="C11" s="67"/>
      <c r="E11" s="62"/>
      <c r="F11" s="82"/>
    </row>
    <row r="12" spans="2:13" ht="46.5" thickTop="1" thickBot="1" x14ac:dyDescent="0.3">
      <c r="B12" s="23" t="s">
        <v>237</v>
      </c>
      <c r="C12" s="93">
        <v>318277</v>
      </c>
      <c r="D12" s="24"/>
      <c r="E12" s="25" t="s">
        <v>240</v>
      </c>
      <c r="F12" s="83">
        <v>713138</v>
      </c>
      <c r="M12" s="89"/>
    </row>
    <row r="13" spans="2:13" ht="15.75" thickTop="1" x14ac:dyDescent="0.25">
      <c r="B13" s="2"/>
    </row>
    <row r="14" spans="2:13" x14ac:dyDescent="0.25">
      <c r="B14" s="2"/>
    </row>
    <row r="15" spans="2:13" ht="15.75" thickBot="1" x14ac:dyDescent="0.3">
      <c r="B15" s="2"/>
    </row>
    <row r="16" spans="2:13" ht="16.5" thickTop="1" thickBot="1" x14ac:dyDescent="0.3">
      <c r="B16" s="84" t="s">
        <v>235</v>
      </c>
      <c r="C16" s="85"/>
      <c r="D16" s="86"/>
      <c r="E16" s="86"/>
      <c r="F16" s="87"/>
    </row>
    <row r="17" spans="2:10" ht="15.75" thickTop="1" x14ac:dyDescent="0.25">
      <c r="B17" s="18"/>
      <c r="F17" s="19"/>
    </row>
    <row r="18" spans="2:10" x14ac:dyDescent="0.25">
      <c r="B18" s="18" t="s">
        <v>0</v>
      </c>
      <c r="C18" s="67">
        <v>315960</v>
      </c>
      <c r="F18" s="19"/>
    </row>
    <row r="19" spans="2:10" x14ac:dyDescent="0.25">
      <c r="B19" s="18" t="s">
        <v>27</v>
      </c>
      <c r="C19" s="67">
        <v>1959811</v>
      </c>
      <c r="F19" s="19"/>
    </row>
    <row r="20" spans="2:10" x14ac:dyDescent="0.25">
      <c r="B20" s="18" t="s">
        <v>230</v>
      </c>
      <c r="C20" s="67">
        <v>7188538</v>
      </c>
      <c r="F20" s="19"/>
    </row>
    <row r="21" spans="2:10" x14ac:dyDescent="0.25">
      <c r="B21" s="18"/>
      <c r="C21" s="68"/>
      <c r="F21" s="19"/>
    </row>
    <row r="22" spans="2:10" ht="30.75" thickBot="1" x14ac:dyDescent="0.3">
      <c r="B22" s="20" t="s">
        <v>6</v>
      </c>
      <c r="C22" s="90">
        <f>SUM(C18:C21)</f>
        <v>9464309</v>
      </c>
      <c r="D22" s="21"/>
      <c r="E22" s="22" t="s">
        <v>25</v>
      </c>
      <c r="F22" s="81">
        <f>SUM(C22*1.25)</f>
        <v>11830386.25</v>
      </c>
    </row>
    <row r="23" spans="2:10" ht="16.5" thickTop="1" thickBot="1" x14ac:dyDescent="0.3">
      <c r="B23" s="2"/>
      <c r="C23" s="67"/>
      <c r="E23" s="62"/>
      <c r="F23" s="82"/>
      <c r="J23" s="72">
        <f>SUM(C22,C24)</f>
        <v>10124536</v>
      </c>
    </row>
    <row r="24" spans="2:10" ht="31.5" thickTop="1" thickBot="1" x14ac:dyDescent="0.3">
      <c r="B24" s="23" t="s">
        <v>236</v>
      </c>
      <c r="C24" s="91">
        <v>660227</v>
      </c>
      <c r="D24" s="24"/>
      <c r="E24" s="25" t="s">
        <v>26</v>
      </c>
      <c r="F24" s="83">
        <v>1439038</v>
      </c>
    </row>
    <row r="25" spans="2:10" ht="15.75" thickTop="1" x14ac:dyDescent="0.25">
      <c r="B25" s="2"/>
    </row>
  </sheetData>
  <pageMargins left="0.7" right="0.7" top="0.75" bottom="0.75" header="0.3" footer="0.3"/>
  <pageSetup scale="8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AFDA19406B848B7101DD146C7E85B" ma:contentTypeVersion="18" ma:contentTypeDescription="Create a new document." ma:contentTypeScope="" ma:versionID="39a1344c21666c4780c4214b4c4850a1">
  <xsd:schema xmlns:xsd="http://www.w3.org/2001/XMLSchema" xmlns:xs="http://www.w3.org/2001/XMLSchema" xmlns:p="http://schemas.microsoft.com/office/2006/metadata/properties" xmlns:ns2="8fd47c45-8aaa-4bb9-a294-41bdb653617e" xmlns:ns3="2a208fe3-8287-4a8b-b629-d45392ca0f10" xmlns:ns4="22ec0dd7-095b-41f2-b8b8-a624496b8c6b" targetNamespace="http://schemas.microsoft.com/office/2006/metadata/properties" ma:root="true" ma:fieldsID="5da6e6d147b0f112825d5ae4887165ea" ns2:_="" ns3:_="" ns4:_="">
    <xsd:import namespace="8fd47c45-8aaa-4bb9-a294-41bdb653617e"/>
    <xsd:import namespace="2a208fe3-8287-4a8b-b629-d45392ca0f10"/>
    <xsd:import namespace="22ec0dd7-095b-41f2-b8b8-a624496b8c6b"/>
    <xsd:element name="properties">
      <xsd:complexType>
        <xsd:sequence>
          <xsd:element name="documentManagement">
            <xsd:complexType>
              <xsd:all>
                <xsd:element ref="ns2:_dlc_Exempt" minOccurs="0"/>
                <xsd:element ref="ns3:SharedWithUser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d47c45-8aaa-4bb9-a294-41bdb653617e" elementFormDefault="qualified">
    <xsd:import namespace="http://schemas.microsoft.com/office/2006/documentManagement/types"/>
    <xsd:import namespace="http://schemas.microsoft.com/office/infopath/2007/PartnerControls"/>
    <xsd:element name="_dlc_Exempt" ma:index="8" nillable="true" ma:displayName="Exempt from Policy" ma:descriptio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208fe3-8287-4a8b-b629-d45392ca0f10"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ec0dd7-095b-41f2-b8b8-a624496b8c6b"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 xmlns="22ec0dd7-095b-41f2-b8b8-a624496b8c6b">E23TXWV46JPD-1446909593-6582</_dlc_DocId>
    <_dlc_DocIdUrl xmlns="22ec0dd7-095b-41f2-b8b8-a624496b8c6b">
      <Url>https://outside.vermont.gov/agency/VTRANS/external/MAB-LP/_layouts/15/DocIdRedir.aspx?ID=E23TXWV46JPD-1446909593-6582</Url>
      <Description>E23TXWV46JPD-1446909593-6582</Description>
    </_dlc_DocIdUrl>
  </documentManagement>
</p:properties>
</file>

<file path=customXml/itemProps1.xml><?xml version="1.0" encoding="utf-8"?>
<ds:datastoreItem xmlns:ds="http://schemas.openxmlformats.org/officeDocument/2006/customXml" ds:itemID="{25D9CB62-7A9B-4A09-B53D-FAAF85CB9B41}"/>
</file>

<file path=customXml/itemProps2.xml><?xml version="1.0" encoding="utf-8"?>
<ds:datastoreItem xmlns:ds="http://schemas.openxmlformats.org/officeDocument/2006/customXml" ds:itemID="{80121367-408A-4575-B64E-A88353E208F8}"/>
</file>

<file path=customXml/itemProps3.xml><?xml version="1.0" encoding="utf-8"?>
<ds:datastoreItem xmlns:ds="http://schemas.openxmlformats.org/officeDocument/2006/customXml" ds:itemID="{69492345-DB70-44B9-AE48-A2E35B367D4C}"/>
</file>

<file path=customXml/itemProps4.xml><?xml version="1.0" encoding="utf-8"?>
<ds:datastoreItem xmlns:ds="http://schemas.openxmlformats.org/officeDocument/2006/customXml" ds:itemID="{F6D7E503-385A-4FCF-8BC7-7B70E648E47C}"/>
</file>

<file path=customXml/itemProps5.xml><?xml version="1.0" encoding="utf-8"?>
<ds:datastoreItem xmlns:ds="http://schemas.openxmlformats.org/officeDocument/2006/customXml" ds:itemID="{DEB429DD-1679-4F60-B779-3E56C7165C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Large Scale</vt:lpstr>
      <vt:lpstr>Addl. &amp; Scoping</vt:lpstr>
      <vt:lpstr>Small Scale</vt:lpstr>
      <vt:lpstr>Funds Request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Lemieux, Jon</dc:creator>
  <cp:lastModifiedBy>Pochop, Peter</cp:lastModifiedBy>
  <cp:lastPrinted>2023-07-19T17:05:25Z</cp:lastPrinted>
  <dcterms:created xsi:type="dcterms:W3CDTF">2019-12-04T15:04:49Z</dcterms:created>
  <dcterms:modified xsi:type="dcterms:W3CDTF">2024-09-10T17:51:57Z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0x010100F3EAFDA19406B848B7101DD146C7E85B</vt:lpwstr>
  </property>
  <property fmtid="{D5CDD505-2E9C-101B-9397-08002B2CF9AE}" pid="3" name="_dlc_DocIdItemGuid">
    <vt:lpwstr>d6a7a3e9-85e0-4147-acc2-b5a1d060cd65</vt:lpwstr>
  </property>
</Properties>
</file>